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ml.chartshapes+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drawings/drawing5.xml" ContentType="application/vnd.openxmlformats-officedocument.drawing+xml"/>
  <Override PartName="/xl/charts/chart6.xml" ContentType="application/vnd.openxmlformats-officedocument.drawingml.chart+xml"/>
  <Override PartName="/xl/charts/style1.xml" ContentType="application/vnd.ms-office.chartstyle+xml"/>
  <Override PartName="/xl/charts/colors1.xml" ContentType="application/vnd.ms-office.chartcolorstyle+xml"/>
  <Override PartName="/xl/charts/chart7.xml" ContentType="application/vnd.openxmlformats-officedocument.drawingml.chart+xml"/>
  <Override PartName="/xl/charts/style2.xml" ContentType="application/vnd.ms-office.chartstyle+xml"/>
  <Override PartName="/xl/charts/colors2.xml" ContentType="application/vnd.ms-office.chartcolorstyle+xml"/>
  <Override PartName="/xl/charts/chart8.xml" ContentType="application/vnd.openxmlformats-officedocument.drawingml.chart+xml"/>
  <Override PartName="/xl/charts/style3.xml" ContentType="application/vnd.ms-office.chartstyle+xml"/>
  <Override PartName="/xl/charts/colors3.xml" ContentType="application/vnd.ms-office.chartcolorstyle+xml"/>
  <Override PartName="/xl/charts/chart9.xml" ContentType="application/vnd.openxmlformats-officedocument.drawingml.chart+xml"/>
  <Override PartName="/xl/charts/style4.xml" ContentType="application/vnd.ms-office.chartstyle+xml"/>
  <Override PartName="/xl/charts/colors4.xml" ContentType="application/vnd.ms-office.chartcolorstyle+xml"/>
  <Override PartName="/xl/charts/chart10.xml" ContentType="application/vnd.openxmlformats-officedocument.drawingml.chart+xml"/>
  <Override PartName="/xl/charts/style5.xml" ContentType="application/vnd.ms-office.chartstyle+xml"/>
  <Override PartName="/xl/charts/colors5.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filterPrivacy="1" autoCompressPictures="0"/>
  <xr:revisionPtr revIDLastSave="0" documentId="13_ncr:1_{C1DA555A-E1C3-4B4F-90F3-844DE065C12D}" xr6:coauthVersionLast="47" xr6:coauthVersionMax="47" xr10:uidLastSave="{00000000-0000-0000-0000-000000000000}"/>
  <workbookProtection workbookAlgorithmName="SHA-512" workbookHashValue="3uOElmatIAFpG47wlmukLnhNNAiBIjIboPifAMrTVwjnQWFZXGjsXvlpZ6BYrl/OKEPqGEhZVbqfCfW53ouh9g==" workbookSaltValue="MlqRGgo2bLdbViu6EvWpSg==" workbookSpinCount="100000" lockStructure="1"/>
  <bookViews>
    <workbookView xWindow="-108" yWindow="-108" windowWidth="23256" windowHeight="12576" tabRatio="699" xr2:uid="{00000000-000D-0000-FFFF-FFFF00000000}"/>
  </bookViews>
  <sheets>
    <sheet name="Impressum" sheetId="16" r:id="rId1"/>
    <sheet name="Erläuterungen" sheetId="17" r:id="rId2"/>
    <sheet name="Rechner" sheetId="13" r:id="rId3"/>
    <sheet name="Ergebnisse" sheetId="14" r:id="rId4"/>
    <sheet name="Diagrammtabelle" sheetId="15" state="hidden" r:id="rId5"/>
    <sheet name="Markthochlauf Oxyfuel" sheetId="19" state="hidden" r:id="rId6"/>
    <sheet name="Daten Markthochlauf" sheetId="21" state="hidden" r:id="rId7"/>
    <sheet name="Bilanz Referenz" sheetId="4" r:id="rId8"/>
    <sheet name="Bilanz Oxyfuel" sheetId="9" r:id="rId9"/>
    <sheet name="Bilanz E-LEILAC" sheetId="11" r:id="rId10"/>
    <sheet name="Input_Preise" sheetId="3" r:id="rId11"/>
    <sheet name="Quellen" sheetId="6" r:id="rId12"/>
  </sheets>
  <externalReferences>
    <externalReference r:id="rId13"/>
    <externalReference r:id="rId14"/>
    <externalReference r:id="rId15"/>
    <externalReference r:id="rId16"/>
  </externalReferences>
  <definedNames>
    <definedName name="_xlnm._FilterDatabase" localSheetId="10" hidden="1">Input_Preise!$J$8:$K$33</definedName>
    <definedName name="_xlnm._FilterDatabase" localSheetId="11" hidden="1">Quellen!$C$12:$C$209</definedName>
    <definedName name="_weg2">[1]SEITE99!$AP$5</definedName>
    <definedName name="A1A">[2]SEITE99!$AK$23</definedName>
    <definedName name="A1AE">'[3]Teil 1-2'!$AK$23</definedName>
    <definedName name="A1B">[2]SEITE99!$AL$25</definedName>
    <definedName name="A1BE">'[3]Teil 1-2'!$AL$25</definedName>
    <definedName name="A2A">[2]SEITE99!$AL$27</definedName>
    <definedName name="A2A1">[2]SEITE99!$AN$28</definedName>
    <definedName name="A2A1E">'[3]Teil 1-2'!$AN$28</definedName>
    <definedName name="A2AE">'[3]Teil 1-2'!$AL$27</definedName>
    <definedName name="A2B">[2]SEITE99!$AL$30</definedName>
    <definedName name="A2BE">'[3]Teil 1-2'!$AL$30</definedName>
    <definedName name="A3_1">[2]SEITE99!$AA$37</definedName>
    <definedName name="A3_1E">'[3]Teil 1-2'!$AA$37</definedName>
    <definedName name="A3_2">[2]SEITE99!$AN$37</definedName>
    <definedName name="A3_2E">'[3]Teil 1-2'!$AN$37</definedName>
    <definedName name="A3A_1">[2]SEITE99!$AA$38</definedName>
    <definedName name="A3A_1E">'[3]Teil 1-2'!$AA$38</definedName>
    <definedName name="A3A_2">[2]SEITE99!$AN$38</definedName>
    <definedName name="A3A_2E">'[3]Teil 1-2'!$AN$38</definedName>
    <definedName name="A4_1">[2]SEITE99!$AA$43</definedName>
    <definedName name="A4_1E">'[3]Teil 1-2'!$AA$43</definedName>
    <definedName name="A4_2">[2]SEITE99!$AN$43</definedName>
    <definedName name="A4_2E">'[3]Teil 1-2'!$AN$43</definedName>
    <definedName name="A4A_1">[2]SEITE99!$AA$44</definedName>
    <definedName name="A4A_1E">'[3]Teil 1-2'!$AA$44</definedName>
    <definedName name="A4A_2">[2]SEITE99!$AN$44</definedName>
    <definedName name="A4A_2E">'[3]Teil 1-2'!$AN$44</definedName>
    <definedName name="A4B_1">[2]SEITE99!$AA$45</definedName>
    <definedName name="A4B_1E">'[3]Teil 1-2'!$AA$45</definedName>
    <definedName name="A4B_2">[2]SEITE99!$AN$45</definedName>
    <definedName name="A4B_2E">'[3]Teil 1-2'!$AN$45</definedName>
    <definedName name="A5_1">[2]SEITE99!$AL$51</definedName>
    <definedName name="A5_1E">'[3]Teil 1-2'!$AL$51</definedName>
    <definedName name="B5_2E">'[3]Teil 1-2'!$AN$53</definedName>
    <definedName name="Bearbeiter">[2]SEITE99!$AL$7</definedName>
    <definedName name="D14_1_1">[2]SEITE99!$M$85</definedName>
    <definedName name="D14_1_1E">'[3]Teil 1-2'!$M$85</definedName>
    <definedName name="D14_1_3">[2]SEITE99!$AO$85</definedName>
    <definedName name="D14_1_3E">'[3]Teil 1-2'!$AO$85</definedName>
    <definedName name="D14_2_1">[2]SEITE99!$M$87</definedName>
    <definedName name="D14_2_1E">'[3]Teil 1-2'!$M$87</definedName>
    <definedName name="D14_2_3">[2]SEITE99!$AO$87</definedName>
    <definedName name="D14_2_3E">'[3]Teil 1-2'!$AO$87</definedName>
    <definedName name="D14_3_1">[2]SEITE99!$M$89</definedName>
    <definedName name="D14_3_1E">'[3]Teil 1-2'!$M$89</definedName>
    <definedName name="D14_3_3">[2]SEITE99!$AO$89</definedName>
    <definedName name="D14_3_3E">'[3]Teil 1-2'!$AO$89</definedName>
    <definedName name="D14_4_1">[2]SEITE99!$M$91</definedName>
    <definedName name="D14_4_1E">'[3]Teil 1-2'!$M$91</definedName>
    <definedName name="D14_4_3">[2]SEITE99!$AO$91</definedName>
    <definedName name="D14_4_3E">'[3]Teil 1-2'!$AO$91</definedName>
    <definedName name="D14_5_1">[2]SEITE99!$M$93</definedName>
    <definedName name="D14_5_1E">'[3]Teil 1-2'!$M$93</definedName>
    <definedName name="D14_5_3">[2]SEITE99!$AO$93</definedName>
    <definedName name="D14_5_3E">'[3]Teil 1-2'!$AO$93</definedName>
    <definedName name="D14_6_1">[2]SEITE99!$L$95</definedName>
    <definedName name="D14_6_1E">'[3]Teil 1-2'!$L$95</definedName>
    <definedName name="D14_6_3">[2]SEITE99!$AO$95</definedName>
    <definedName name="D14_6_3E">'[3]Teil 1-2'!$AO$95</definedName>
    <definedName name="D14_7_1">[2]SEITE99!$L$97</definedName>
    <definedName name="D14_7_1E">'[3]Teil 1-2'!$L$97</definedName>
    <definedName name="D14_7_3">[2]SEITE99!$AO$97</definedName>
    <definedName name="D14_7_3E">'[3]Teil 1-2'!$AO$97</definedName>
    <definedName name="D14_8_1">[2]SEITE99!$L$99</definedName>
    <definedName name="D14_8_1E">'[3]Teil 1-2'!$L$99</definedName>
    <definedName name="D14_8_3">[2]SEITE99!$AO$99</definedName>
    <definedName name="D14_8_3E">'[3]Teil 1-2'!$AO$99</definedName>
    <definedName name="D14A">[2]SEITE99!$AB$106</definedName>
    <definedName name="D14AE">'[3]Teil 1-2'!$AB$106</definedName>
    <definedName name="D15_1_1">[2]SEITE99!$M$124</definedName>
    <definedName name="D15_1_1E">'[3]Teil 1-2'!$M$124</definedName>
    <definedName name="D15_1_3">[2]SEITE99!$AO$124</definedName>
    <definedName name="D15_1_3E">'[3]Teil 1-2'!$AO$124</definedName>
    <definedName name="D15_2_1">[2]SEITE99!$M$126</definedName>
    <definedName name="D15_2_1E">'[3]Teil 1-2'!$M$126</definedName>
    <definedName name="D15_2_3">[2]SEITE99!$AO$126</definedName>
    <definedName name="D15_2_3E">'[3]Teil 1-2'!$AO$126</definedName>
    <definedName name="D15_3_1">[2]SEITE99!$M$128</definedName>
    <definedName name="D15_3_1E">'[3]Teil 1-2'!$M$128</definedName>
    <definedName name="D15_3_3">[2]SEITE99!$AO$128</definedName>
    <definedName name="D15_3_3E">'[3]Teil 1-2'!$AO$128</definedName>
    <definedName name="D15_4_1">[2]SEITE99!$M$130</definedName>
    <definedName name="D15_4_1E">'[3]Teil 1-2'!$M$130</definedName>
    <definedName name="D15_4_3">[2]SEITE99!$AO$130</definedName>
    <definedName name="D15_4_3E">'[3]Teil 1-2'!$AO$130</definedName>
    <definedName name="D15_5_1">[2]SEITE99!$M$132</definedName>
    <definedName name="D15_5_1E">'[3]Teil 1-2'!$M$132</definedName>
    <definedName name="D15_5_3">[2]SEITE99!$AO$132</definedName>
    <definedName name="D15_5_3E">'[3]Teil 1-2'!$AO$132</definedName>
    <definedName name="D15_6_1">[2]SEITE99!$M$134</definedName>
    <definedName name="D15_6_1E">'[3]Teil 1-2'!$M$134</definedName>
    <definedName name="D15_6_3">[2]SEITE99!$AO$134</definedName>
    <definedName name="D15_6_3E">'[3]Teil 1-2'!$AO$134</definedName>
    <definedName name="D15_7_1">[2]SEITE99!$M$136</definedName>
    <definedName name="D15_7_1E">'[3]Teil 1-2'!$M$136</definedName>
    <definedName name="D15_7_3">[2]SEITE99!$AO$136</definedName>
    <definedName name="D15_7_3E">'[3]Teil 1-2'!$AO$136</definedName>
    <definedName name="D15_8_1">[2]SEITE99!$M$138</definedName>
    <definedName name="D15_8_1E">'[3]Teil 1-2'!$M$138</definedName>
    <definedName name="D15_8_3">[2]SEITE99!$AO$138</definedName>
    <definedName name="D15_8_3E">'[3]Teil 1-2'!$AO$138</definedName>
    <definedName name="D16_1">[2]SEITE99!$M$145</definedName>
    <definedName name="D16_10E">'[3]Teil 1-2'!$AO$147</definedName>
    <definedName name="D16_1E">'[3]Teil 1-2'!$M$143</definedName>
    <definedName name="D16_3">[2]SEITE99!$AO$145</definedName>
    <definedName name="D16_3E">'[3]Teil 1-2'!$AO$143</definedName>
    <definedName name="D16_4E">'[3]Teil 1-2'!$M$145</definedName>
    <definedName name="D16_6E">'[3]Teil 1-2'!$AO$145</definedName>
    <definedName name="D16_8E">'[3]Teil 1-2'!$M$147</definedName>
    <definedName name="dampf">[2]SEITE99!$BI$5</definedName>
    <definedName name="Dauer_RV">[2]SEITE99!$AP$5</definedName>
    <definedName name="Dauer_RVS">'[3]Teil 2'!$AP$5</definedName>
    <definedName name="Dauer_UA">[2]SEITE99!$AP$6</definedName>
    <definedName name="Dauer_UAE">'[3]Teil 1-2'!$AP$6</definedName>
    <definedName name="E17_1">[2]SEITE99!$AH$152</definedName>
    <definedName name="E17_1E">'[3]Teil 1-2'!$AH$154</definedName>
    <definedName name="E18_1">[2]SEITE99!$AH$153</definedName>
    <definedName name="E18_1E">'[3]Teil 1-2'!$AH$155</definedName>
    <definedName name="E20A">[2]SEITE99!$AH$155</definedName>
    <definedName name="E20AE">'[3]Teil 1-2'!$AH$157</definedName>
    <definedName name="E20B">[2]SEITE99!$AH$156</definedName>
    <definedName name="E20BE">'[3]Teil 1-2'!$AH$158</definedName>
    <definedName name="Fabrik">[2]SEITE99!$I$6</definedName>
    <definedName name="FabrikE">'[3]Teil 1-2'!$I$6</definedName>
    <definedName name="HJ1_Kfrei">[2]SEITE99!$BD$5</definedName>
    <definedName name="HJ2_Kfrei">[2]SEITE99!$BD$6</definedName>
    <definedName name="J51_1_1">[2]SEITE99!$M$295</definedName>
    <definedName name="J51_1_1E">'[3]Teil 1-2'!$M$297</definedName>
    <definedName name="J51_1_3">[2]SEITE99!$AO$295</definedName>
    <definedName name="J51_1_3E">'[3]Teil 1-2'!$AO$297</definedName>
    <definedName name="J51_2_1">[2]SEITE99!$M$297</definedName>
    <definedName name="J51_2_1E">'[3]Teil 1-2'!$M$299</definedName>
    <definedName name="J51_2_3">[2]SEITE99!$AO$297</definedName>
    <definedName name="J51_2_3E">'[3]Teil 1-2'!$AO$299</definedName>
    <definedName name="J51_3_1">[2]SEITE99!$M$299</definedName>
    <definedName name="J51_3_1E">'[3]Teil 1-2'!$M$301</definedName>
    <definedName name="J51_3_3">[2]SEITE99!$AO$299</definedName>
    <definedName name="J51_3_3E">'[3]Teil 1-2'!$AO$301</definedName>
    <definedName name="J51_4_1">[2]SEITE99!$M$301</definedName>
    <definedName name="J51_4_1E">'[3]Teil 1-2'!$M$303</definedName>
    <definedName name="J51_4_3">[2]SEITE99!$AO$301</definedName>
    <definedName name="J51_4_3E">'[3]Teil 1-2'!$AO$303</definedName>
    <definedName name="J51_5_1">[2]SEITE99!$M$303</definedName>
    <definedName name="J51_5_1E">'[3]Teil 1-2'!$M$305</definedName>
    <definedName name="J51_5_3">[2]SEITE99!$AO$303</definedName>
    <definedName name="J51_5_3E">'[3]Teil 1-2'!$AO$305</definedName>
    <definedName name="J51_6_1">[2]SEITE99!$M$305</definedName>
    <definedName name="J51_6_1E">'[3]Teil 1-2'!$M$307</definedName>
    <definedName name="J51_6_3">[2]SEITE99!$AO$305</definedName>
    <definedName name="J51_6_3E">'[3]Teil 1-2'!$AO$307</definedName>
    <definedName name="J51_7_1">[2]SEITE99!$M$307</definedName>
    <definedName name="J51_7_1E">'[3]Teil 1-2'!$M$309</definedName>
    <definedName name="J51_7_3">[2]SEITE99!$AO$307</definedName>
    <definedName name="J51_7_3E">'[3]Teil 1-2'!$AO$309</definedName>
    <definedName name="J51_8_1">[2]SEITE99!$M$309</definedName>
    <definedName name="J51_8_1E">'[3]Teil 1-2'!$M$311</definedName>
    <definedName name="J51_8_3">[2]SEITE99!$AO$309</definedName>
    <definedName name="J51_8_3E">'[3]Teil 1-2'!$AO$311</definedName>
    <definedName name="J52_1">[2]SEITE99!$AB$313</definedName>
    <definedName name="J52_1E">'[3]Teil 1-2'!$AB$315</definedName>
    <definedName name="K53_1">[2]SEITE99!$AI$320</definedName>
    <definedName name="K53_1E">'[3]Teil 1-2'!$AI$322</definedName>
    <definedName name="K54_1">[2]SEITE99!$AI$321</definedName>
    <definedName name="K54_1E">'[3]Teil 1-2'!$AI$323</definedName>
    <definedName name="K56A">[2]SEITE99!$AI$323</definedName>
    <definedName name="K56AE">'[3]Teil 1-2'!$AI$325</definedName>
    <definedName name="K56B">[2]SEITE99!$AI$324</definedName>
    <definedName name="K56BE">'[3]Teil 1-2'!$AI$326</definedName>
    <definedName name="Kampagne">[2]SEITE99!$I$5</definedName>
    <definedName name="Kfrei">'[3]Teil 1-2'!$BD$5</definedName>
    <definedName name="Kfrei_1">'[3]Teil 1-2'!$BD$6</definedName>
    <definedName name="M68_1_1">[2]SEITE99!$M$369</definedName>
    <definedName name="M68_1_1E">'[3]Teil 1-2'!$M$371</definedName>
    <definedName name="M68_1_3">[2]SEITE99!$AO$369</definedName>
    <definedName name="M68_1_3E">'[3]Teil 1-2'!$AO$371</definedName>
    <definedName name="M68_2_1">[2]SEITE99!$M$371</definedName>
    <definedName name="M68_2_1E">'[3]Teil 1-2'!$M$373</definedName>
    <definedName name="M68_2_3">[2]SEITE99!$AO$371</definedName>
    <definedName name="M68_2_3E">'[3]Teil 1-2'!$AO$373</definedName>
    <definedName name="M68_3_1">[2]SEITE99!$M$373</definedName>
    <definedName name="M68_3_1E">'[3]Teil 1-2'!$M$375</definedName>
    <definedName name="M68_3_3">[2]SEITE99!$AO$373</definedName>
    <definedName name="M68_3_3E">'[3]Teil 1-2'!$AO$375</definedName>
    <definedName name="M68_4_1">[2]SEITE99!$M$375</definedName>
    <definedName name="M68_4_1E">'[3]Teil 1-2'!$M$377</definedName>
    <definedName name="M68_4_3">[2]SEITE99!$AO$375</definedName>
    <definedName name="M68_4_3E">'[3]Teil 1-2'!$AO$377</definedName>
    <definedName name="M68_5_1">[2]SEITE99!$M$377</definedName>
    <definedName name="M68_5_1E">'[3]Teil 1-2'!$M$379</definedName>
    <definedName name="M68_5_3">[2]SEITE99!$AO$377</definedName>
    <definedName name="M68_5_3E">'[3]Teil 1-2'!$AO$379</definedName>
    <definedName name="M68_6_1">[2]SEITE99!$M$379</definedName>
    <definedName name="M68_6_1E">'[3]Teil 1-2'!$M$381</definedName>
    <definedName name="M68_6_3">[2]SEITE99!$AO$379</definedName>
    <definedName name="M68_6_3E">'[3]Teil 1-2'!$AO$381</definedName>
    <definedName name="M68_7_1">[2]SEITE99!$M$381</definedName>
    <definedName name="M68_7_1E">'[3]Teil 1-2'!$M$383</definedName>
    <definedName name="M68_7_3">[2]SEITE99!$AO$381</definedName>
    <definedName name="M68_7_3E">'[3]Teil 1-2'!$AO$383</definedName>
    <definedName name="M68_8_1">[2]SEITE99!$M$383</definedName>
    <definedName name="M68_8_1E">'[3]Teil 1-2'!$M$385</definedName>
    <definedName name="M68_8_3">[2]SEITE99!$AO$383</definedName>
    <definedName name="M68_8_3E">'[3]Teil 1-2'!$AO$385</definedName>
    <definedName name="M69_1">[2]SEITE99!$AB$388</definedName>
    <definedName name="M69_1E">'[3]Teil 1-2'!$AB$390</definedName>
    <definedName name="N70_1">[2]SEITE99!$AI$398</definedName>
    <definedName name="N70_1E">'[3]Teil 1-2'!$AI$400</definedName>
    <definedName name="N71_1">[2]SEITE99!$AI$399</definedName>
    <definedName name="N71_1E">'[3]Teil 1-2'!$AI$401</definedName>
    <definedName name="N73A">[2]SEITE99!$AI$401</definedName>
    <definedName name="N73AE">'[3]Teil 1-2'!$AI$403</definedName>
    <definedName name="N73B">[2]SEITE99!$AI$402</definedName>
    <definedName name="N73BE">'[3]Teil 1-2'!$AI$404</definedName>
    <definedName name="weg">[1]SEITE99!$I$5</definedName>
    <definedName name="wegweg">[4]SEITE99!$I$5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E18" i="14" l="1"/>
  <c r="D55" i="11"/>
  <c r="D52" i="11"/>
  <c r="C11" i="15"/>
  <c r="G21" i="13"/>
  <c r="O56" i="14"/>
  <c r="U63" i="14"/>
  <c r="M39" i="13"/>
  <c r="U20" i="13"/>
  <c r="J36" i="13"/>
  <c r="C12" i="15" s="1"/>
  <c r="R67" i="19" l="1"/>
  <c r="S67" i="19"/>
  <c r="T67" i="19"/>
  <c r="U67" i="19"/>
  <c r="V67" i="19"/>
  <c r="W67" i="19"/>
  <c r="R66" i="19"/>
  <c r="S66" i="19"/>
  <c r="T66" i="19"/>
  <c r="U66" i="19"/>
  <c r="V66" i="19"/>
  <c r="W66" i="19"/>
  <c r="B67" i="19"/>
  <c r="B66" i="19"/>
  <c r="AB31" i="21" l="1"/>
  <c r="AC31" i="21"/>
  <c r="AD31" i="21"/>
  <c r="AE31" i="21"/>
  <c r="AF31" i="21"/>
  <c r="AG31" i="21"/>
  <c r="B115" i="19"/>
  <c r="AQ29" i="13" l="1"/>
  <c r="AL29" i="13"/>
  <c r="AF29" i="13"/>
  <c r="AA29" i="13"/>
  <c r="AA48" i="13"/>
  <c r="AL51" i="13"/>
  <c r="AL48" i="13"/>
  <c r="AL47" i="13"/>
  <c r="D46" i="9"/>
  <c r="O18" i="19"/>
  <c r="AG13" i="19"/>
  <c r="D47" i="9"/>
  <c r="W12" i="19" l="1"/>
  <c r="V11" i="19"/>
  <c r="W11" i="19"/>
  <c r="T9" i="19"/>
  <c r="U9" i="19"/>
  <c r="V9" i="19"/>
  <c r="W9" i="19"/>
  <c r="U10" i="19"/>
  <c r="V10" i="19"/>
  <c r="W10" i="19"/>
  <c r="S8" i="19"/>
  <c r="T8" i="19"/>
  <c r="U8" i="19"/>
  <c r="V8" i="19"/>
  <c r="W8" i="19"/>
  <c r="R7" i="19"/>
  <c r="R14" i="19" s="1"/>
  <c r="S7" i="19"/>
  <c r="S14" i="19" s="1"/>
  <c r="T7" i="19"/>
  <c r="T14" i="19" s="1"/>
  <c r="U7" i="19"/>
  <c r="U14" i="19" s="1"/>
  <c r="V7" i="19"/>
  <c r="V14" i="19" s="1"/>
  <c r="W7" i="19"/>
  <c r="W14" i="19" s="1"/>
  <c r="E15" i="19"/>
  <c r="E14" i="19"/>
  <c r="G14" i="19"/>
  <c r="F15" i="19"/>
  <c r="D15" i="19"/>
  <c r="D14" i="19"/>
  <c r="K12" i="19"/>
  <c r="J11" i="19"/>
  <c r="I10" i="19"/>
  <c r="H9" i="19"/>
  <c r="H15" i="19" s="1"/>
  <c r="G8" i="19"/>
  <c r="G15" i="19" s="1"/>
  <c r="F7" i="19"/>
  <c r="F14" i="19" s="1"/>
  <c r="X30" i="13"/>
  <c r="AF30" i="13" s="1"/>
  <c r="AR4" i="19"/>
  <c r="AR7" i="19" s="1"/>
  <c r="E95" i="19"/>
  <c r="F95" i="19"/>
  <c r="G95" i="19"/>
  <c r="D95" i="19"/>
  <c r="W15" i="19" l="1"/>
  <c r="E98" i="19"/>
  <c r="F98" i="19"/>
  <c r="G98" i="19"/>
  <c r="H98" i="19"/>
  <c r="I98" i="19"/>
  <c r="J98" i="19"/>
  <c r="K98" i="19"/>
  <c r="L98" i="19"/>
  <c r="M98" i="19"/>
  <c r="N98" i="19"/>
  <c r="O98" i="19"/>
  <c r="P98" i="19"/>
  <c r="Q98" i="19"/>
  <c r="R98" i="19"/>
  <c r="S98" i="19"/>
  <c r="T98" i="19"/>
  <c r="U98" i="19"/>
  <c r="V98" i="19"/>
  <c r="W98" i="19"/>
  <c r="D98" i="19"/>
  <c r="O20" i="21"/>
  <c r="P20" i="21"/>
  <c r="Q20" i="21"/>
  <c r="R20" i="21"/>
  <c r="S20" i="21"/>
  <c r="T20" i="21"/>
  <c r="U20" i="21"/>
  <c r="V20" i="21"/>
  <c r="W20" i="21"/>
  <c r="X20" i="21"/>
  <c r="Y20" i="21"/>
  <c r="Z20" i="21"/>
  <c r="AA20" i="21"/>
  <c r="AB20" i="21"/>
  <c r="AC20" i="21"/>
  <c r="AD20" i="21"/>
  <c r="AE20" i="21"/>
  <c r="AF20" i="21"/>
  <c r="AG20" i="21"/>
  <c r="N20" i="21"/>
  <c r="E65" i="19"/>
  <c r="E111" i="19" s="1"/>
  <c r="F65" i="19"/>
  <c r="F111" i="19" s="1"/>
  <c r="G65" i="19"/>
  <c r="G111" i="19" s="1"/>
  <c r="H65" i="19"/>
  <c r="H111" i="19" s="1"/>
  <c r="I65" i="19"/>
  <c r="I111" i="19" s="1"/>
  <c r="J65" i="19"/>
  <c r="J111" i="19" s="1"/>
  <c r="K65" i="19"/>
  <c r="K111" i="19" s="1"/>
  <c r="L65" i="19"/>
  <c r="L111" i="19" s="1"/>
  <c r="M65" i="19"/>
  <c r="M111" i="19" s="1"/>
  <c r="N65" i="19"/>
  <c r="N111" i="19" s="1"/>
  <c r="O65" i="19"/>
  <c r="O111" i="19" s="1"/>
  <c r="P65" i="19"/>
  <c r="P111" i="19" s="1"/>
  <c r="Q65" i="19"/>
  <c r="Q111" i="19" s="1"/>
  <c r="R65" i="19"/>
  <c r="R111" i="19" s="1"/>
  <c r="S65" i="19"/>
  <c r="S111" i="19" s="1"/>
  <c r="T65" i="19"/>
  <c r="T111" i="19" s="1"/>
  <c r="U65" i="19"/>
  <c r="U111" i="19" s="1"/>
  <c r="V65" i="19"/>
  <c r="V111" i="19" s="1"/>
  <c r="W65" i="19"/>
  <c r="W111" i="19" s="1"/>
  <c r="D65" i="19"/>
  <c r="D111" i="19" s="1"/>
  <c r="W11" i="21"/>
  <c r="X11" i="21"/>
  <c r="Z11" i="21"/>
  <c r="AA11" i="21"/>
  <c r="AB11" i="21"/>
  <c r="AG11" i="21"/>
  <c r="N11" i="21"/>
  <c r="M54" i="19"/>
  <c r="N54" i="19"/>
  <c r="Y10" i="21"/>
  <c r="Z10" i="21"/>
  <c r="P54" i="19" s="1"/>
  <c r="AA10" i="21"/>
  <c r="Q54" i="19" s="1"/>
  <c r="AB10" i="21"/>
  <c r="R54" i="19" s="1"/>
  <c r="AC10" i="21"/>
  <c r="AC11" i="21" s="1"/>
  <c r="AD10" i="21"/>
  <c r="AD11" i="21" s="1"/>
  <c r="AE10" i="21"/>
  <c r="AE11" i="21" s="1"/>
  <c r="AF10" i="21"/>
  <c r="AF11" i="21" s="1"/>
  <c r="X10" i="21"/>
  <c r="P10" i="21"/>
  <c r="P11" i="21" s="1"/>
  <c r="Q10" i="21"/>
  <c r="Q11" i="21" s="1"/>
  <c r="R10" i="21"/>
  <c r="R11" i="21" s="1"/>
  <c r="S10" i="21"/>
  <c r="S11" i="21" s="1"/>
  <c r="T10" i="21"/>
  <c r="T11" i="21" s="1"/>
  <c r="U10" i="21"/>
  <c r="U11" i="21" s="1"/>
  <c r="V10" i="21"/>
  <c r="V11" i="21" s="1"/>
  <c r="O10" i="21"/>
  <c r="O11" i="21" s="1"/>
  <c r="W54" i="19"/>
  <c r="L54" i="19"/>
  <c r="J54" i="19"/>
  <c r="I54" i="19"/>
  <c r="D54" i="19"/>
  <c r="B52" i="19"/>
  <c r="B51" i="19"/>
  <c r="W25" i="19"/>
  <c r="V24" i="19"/>
  <c r="W24" i="19"/>
  <c r="U23" i="19"/>
  <c r="V23" i="19"/>
  <c r="W23" i="19"/>
  <c r="T22" i="19"/>
  <c r="U22" i="19"/>
  <c r="V22" i="19"/>
  <c r="W22" i="19"/>
  <c r="S21" i="19"/>
  <c r="T21" i="19"/>
  <c r="U21" i="19"/>
  <c r="V21" i="19"/>
  <c r="W21" i="19"/>
  <c r="R20" i="19"/>
  <c r="S20" i="19"/>
  <c r="T20" i="19"/>
  <c r="U20" i="19"/>
  <c r="V20" i="19"/>
  <c r="W20" i="19"/>
  <c r="E18" i="19"/>
  <c r="F18" i="19"/>
  <c r="G18" i="19"/>
  <c r="H18" i="19"/>
  <c r="I18" i="19"/>
  <c r="J18" i="19"/>
  <c r="K18" i="19"/>
  <c r="L18" i="19"/>
  <c r="M18" i="19"/>
  <c r="N18" i="19"/>
  <c r="P18" i="19"/>
  <c r="Q18" i="19"/>
  <c r="R18" i="19"/>
  <c r="S18" i="19"/>
  <c r="T18" i="19"/>
  <c r="U18" i="19"/>
  <c r="V18" i="19"/>
  <c r="W18" i="19"/>
  <c r="D18" i="19"/>
  <c r="B18" i="19"/>
  <c r="AG9" i="19"/>
  <c r="K4" i="19" s="1"/>
  <c r="B98" i="19"/>
  <c r="B79" i="19"/>
  <c r="B65" i="19"/>
  <c r="B54" i="19"/>
  <c r="B53" i="19"/>
  <c r="AF25" i="19"/>
  <c r="G26" i="19"/>
  <c r="F26" i="19"/>
  <c r="E26" i="19"/>
  <c r="D26" i="19"/>
  <c r="AF22" i="19"/>
  <c r="W13" i="19"/>
  <c r="E13" i="19"/>
  <c r="D13" i="19"/>
  <c r="AN11" i="19"/>
  <c r="AN10" i="19"/>
  <c r="AG4" i="19"/>
  <c r="W4" i="19"/>
  <c r="V4" i="19"/>
  <c r="U4" i="19"/>
  <c r="T4" i="19"/>
  <c r="S4" i="19"/>
  <c r="R4" i="19"/>
  <c r="Q4" i="19"/>
  <c r="P4" i="19"/>
  <c r="O4" i="19"/>
  <c r="N4" i="19"/>
  <c r="M4" i="19"/>
  <c r="L4" i="19"/>
  <c r="X111" i="19" l="1"/>
  <c r="Y111" i="19" s="1"/>
  <c r="Z111" i="19" s="1"/>
  <c r="AA111" i="19" s="1"/>
  <c r="AB111" i="19" s="1"/>
  <c r="AL4" i="19"/>
  <c r="AN6" i="19"/>
  <c r="O54" i="19"/>
  <c r="D8" i="21"/>
  <c r="AN5" i="19"/>
  <c r="D19" i="21"/>
  <c r="AL12" i="19"/>
  <c r="AJ7" i="19"/>
  <c r="AN8" i="19"/>
  <c r="AN9" i="19"/>
  <c r="AJ12" i="19"/>
  <c r="AJ10" i="19"/>
  <c r="AL9" i="19"/>
  <c r="AL8" i="19"/>
  <c r="AL5" i="19"/>
  <c r="AN12" i="19"/>
  <c r="AL11" i="19"/>
  <c r="AL10" i="19"/>
  <c r="AL6" i="19"/>
  <c r="AL7" i="19"/>
  <c r="AJ4" i="19"/>
  <c r="AN4" i="19"/>
  <c r="AJ11" i="19"/>
  <c r="AJ9" i="19"/>
  <c r="AJ8" i="19"/>
  <c r="AN7" i="19"/>
  <c r="AJ6" i="19"/>
  <c r="AJ5" i="19"/>
  <c r="V25" i="19"/>
  <c r="F4" i="19"/>
  <c r="L20" i="19" s="1"/>
  <c r="G4" i="19"/>
  <c r="K21" i="19" s="1"/>
  <c r="M25" i="19"/>
  <c r="H4" i="19"/>
  <c r="K22" i="19" s="1"/>
  <c r="K54" i="19"/>
  <c r="Y11" i="21"/>
  <c r="U25" i="19"/>
  <c r="T25" i="19"/>
  <c r="H54" i="19"/>
  <c r="S25" i="19"/>
  <c r="G54" i="19"/>
  <c r="R25" i="19"/>
  <c r="V54" i="19"/>
  <c r="F54" i="19"/>
  <c r="Q25" i="19"/>
  <c r="U54" i="19"/>
  <c r="E54" i="19"/>
  <c r="P25" i="19"/>
  <c r="T54" i="19"/>
  <c r="O25" i="19"/>
  <c r="S54" i="19"/>
  <c r="N25" i="19"/>
  <c r="AJ23" i="19"/>
  <c r="I4" i="19"/>
  <c r="O23" i="19" s="1"/>
  <c r="J4" i="19"/>
  <c r="U24" i="19" s="1"/>
  <c r="W26" i="19"/>
  <c r="P20" i="19" l="1"/>
  <c r="N22" i="19"/>
  <c r="AJ19" i="19"/>
  <c r="AJ26" i="19" s="1"/>
  <c r="AK18" i="19"/>
  <c r="AK19" i="19"/>
  <c r="AK22" i="19" s="1"/>
  <c r="F105" i="19" s="1"/>
  <c r="V26" i="19"/>
  <c r="AL14" i="19"/>
  <c r="AJ18" i="19"/>
  <c r="Q20" i="19"/>
  <c r="AN14" i="19"/>
  <c r="M21" i="19"/>
  <c r="AC4" i="19"/>
  <c r="L22" i="19"/>
  <c r="M23" i="19"/>
  <c r="M22" i="19"/>
  <c r="O22" i="19"/>
  <c r="P21" i="19"/>
  <c r="Q22" i="19"/>
  <c r="P22" i="19"/>
  <c r="R22" i="19"/>
  <c r="S22" i="19"/>
  <c r="R21" i="19"/>
  <c r="L23" i="19"/>
  <c r="S24" i="19"/>
  <c r="N24" i="19"/>
  <c r="N21" i="19"/>
  <c r="N23" i="19"/>
  <c r="I20" i="19"/>
  <c r="I21" i="19"/>
  <c r="K23" i="19"/>
  <c r="H20" i="19"/>
  <c r="T24" i="19"/>
  <c r="N20" i="19"/>
  <c r="J22" i="19"/>
  <c r="M24" i="19"/>
  <c r="O24" i="19"/>
  <c r="O21" i="19"/>
  <c r="J21" i="19"/>
  <c r="R23" i="19"/>
  <c r="M20" i="19"/>
  <c r="O20" i="19"/>
  <c r="J20" i="19"/>
  <c r="P23" i="19"/>
  <c r="P24" i="19"/>
  <c r="Q23" i="19"/>
  <c r="T23" i="19"/>
  <c r="Q24" i="19"/>
  <c r="K20" i="19"/>
  <c r="S23" i="19"/>
  <c r="Q21" i="19"/>
  <c r="L24" i="19"/>
  <c r="L21" i="19"/>
  <c r="R24" i="19"/>
  <c r="U26" i="19"/>
  <c r="U103" i="19" l="1"/>
  <c r="U101" i="19"/>
  <c r="F100" i="19"/>
  <c r="M105" i="19"/>
  <c r="H102" i="19"/>
  <c r="U102" i="19"/>
  <c r="R100" i="19"/>
  <c r="I102" i="19"/>
  <c r="J105" i="19"/>
  <c r="I104" i="19"/>
  <c r="S101" i="19"/>
  <c r="D103" i="19"/>
  <c r="U100" i="19"/>
  <c r="E101" i="19"/>
  <c r="H101" i="19"/>
  <c r="U105" i="19"/>
  <c r="K104" i="19"/>
  <c r="T105" i="19"/>
  <c r="R105" i="19"/>
  <c r="H104" i="19"/>
  <c r="U104" i="19"/>
  <c r="I103" i="19"/>
  <c r="G101" i="19"/>
  <c r="P102" i="19"/>
  <c r="W100" i="19"/>
  <c r="S105" i="19"/>
  <c r="P100" i="19"/>
  <c r="J103" i="19"/>
  <c r="G104" i="19"/>
  <c r="O105" i="19"/>
  <c r="T101" i="19"/>
  <c r="D104" i="19"/>
  <c r="G102" i="19"/>
  <c r="D105" i="19"/>
  <c r="D101" i="19"/>
  <c r="H105" i="19"/>
  <c r="F104" i="19"/>
  <c r="E105" i="19"/>
  <c r="E104" i="19"/>
  <c r="K101" i="19"/>
  <c r="Q105" i="19"/>
  <c r="V102" i="19"/>
  <c r="O103" i="19"/>
  <c r="H103" i="19"/>
  <c r="W101" i="19"/>
  <c r="F102" i="19"/>
  <c r="L100" i="19"/>
  <c r="E102" i="19"/>
  <c r="S100" i="19"/>
  <c r="V103" i="19"/>
  <c r="G100" i="19"/>
  <c r="W105" i="19"/>
  <c r="F103" i="19"/>
  <c r="V100" i="19"/>
  <c r="G105" i="19"/>
  <c r="E100" i="19"/>
  <c r="W103" i="19"/>
  <c r="D100" i="19"/>
  <c r="I105" i="19"/>
  <c r="J104" i="19"/>
  <c r="P105" i="19"/>
  <c r="AK26" i="19"/>
  <c r="G103" i="19"/>
  <c r="L105" i="19"/>
  <c r="T102" i="19"/>
  <c r="V101" i="19"/>
  <c r="N102" i="19"/>
  <c r="E103" i="19"/>
  <c r="W104" i="19"/>
  <c r="K102" i="19"/>
  <c r="W102" i="19"/>
  <c r="D102" i="19"/>
  <c r="F101" i="19"/>
  <c r="V105" i="19"/>
  <c r="V104" i="19"/>
  <c r="N105" i="19"/>
  <c r="K105" i="19"/>
  <c r="T100" i="19"/>
  <c r="N103" i="19"/>
  <c r="P104" i="19"/>
  <c r="N104" i="19"/>
  <c r="S104" i="19"/>
  <c r="L103" i="19"/>
  <c r="R103" i="19"/>
  <c r="R104" i="19"/>
  <c r="M103" i="19"/>
  <c r="O104" i="19"/>
  <c r="S102" i="19"/>
  <c r="K103" i="19"/>
  <c r="P103" i="19"/>
  <c r="L104" i="19"/>
  <c r="R102" i="19"/>
  <c r="M104" i="19"/>
  <c r="Q103" i="19"/>
  <c r="J102" i="19"/>
  <c r="L102" i="19"/>
  <c r="S103" i="19"/>
  <c r="Q102" i="19"/>
  <c r="Q104" i="19"/>
  <c r="T104" i="19"/>
  <c r="O102" i="19"/>
  <c r="T103" i="19"/>
  <c r="M102" i="19"/>
  <c r="J100" i="19"/>
  <c r="M101" i="19"/>
  <c r="N101" i="19"/>
  <c r="Q100" i="19"/>
  <c r="J101" i="19"/>
  <c r="O101" i="19"/>
  <c r="N100" i="19"/>
  <c r="P101" i="19"/>
  <c r="H100" i="19"/>
  <c r="I101" i="19"/>
  <c r="I100" i="19"/>
  <c r="I26" i="19"/>
  <c r="P26" i="19"/>
  <c r="M26" i="19"/>
  <c r="T26" i="19"/>
  <c r="R26" i="19"/>
  <c r="S26" i="19"/>
  <c r="O26" i="19"/>
  <c r="N26" i="19"/>
  <c r="L26" i="19"/>
  <c r="Q26" i="19"/>
  <c r="R101" i="19"/>
  <c r="J26" i="19"/>
  <c r="M100" i="19"/>
  <c r="K26" i="19"/>
  <c r="Q101" i="19"/>
  <c r="L101" i="19"/>
  <c r="H26" i="19"/>
  <c r="K100" i="19"/>
  <c r="O100" i="19"/>
  <c r="P106" i="19" l="1"/>
  <c r="L106" i="19"/>
  <c r="H106" i="19"/>
  <c r="N106" i="19"/>
  <c r="Q106" i="19"/>
  <c r="O106" i="19"/>
  <c r="M106" i="19"/>
  <c r="R106" i="19"/>
  <c r="AC102" i="19"/>
  <c r="U106" i="19"/>
  <c r="E106" i="19"/>
  <c r="D106" i="19"/>
  <c r="AC100" i="19"/>
  <c r="J106" i="19"/>
  <c r="AC104" i="19"/>
  <c r="F106" i="19"/>
  <c r="S106" i="19"/>
  <c r="I106" i="19"/>
  <c r="T106" i="19"/>
  <c r="V106" i="19"/>
  <c r="K106" i="19"/>
  <c r="G106" i="19"/>
  <c r="AC103" i="19"/>
  <c r="AC101" i="19"/>
  <c r="W106" i="19"/>
  <c r="AC105" i="19"/>
  <c r="AC106" i="19" l="1"/>
  <c r="C9" i="15" l="1"/>
  <c r="F18" i="15"/>
  <c r="D43" i="9"/>
  <c r="J20" i="13" l="1"/>
  <c r="D89" i="9" l="1"/>
  <c r="D33" i="9" l="1"/>
  <c r="D60" i="4"/>
  <c r="J34" i="13" l="1"/>
  <c r="O54" i="14"/>
  <c r="J35" i="13"/>
  <c r="R48" i="13" s="1"/>
  <c r="AI15" i="13"/>
  <c r="AI16" i="13"/>
  <c r="M15" i="13"/>
  <c r="U15" i="13" s="1"/>
  <c r="M16" i="13"/>
  <c r="U16" i="13" s="1"/>
  <c r="D49" i="4"/>
  <c r="M17" i="13" s="1"/>
  <c r="U17" i="13" s="1"/>
  <c r="D21" i="4"/>
  <c r="D36" i="4"/>
  <c r="M14" i="13" s="1"/>
  <c r="U14" i="13" s="1"/>
  <c r="D29" i="4"/>
  <c r="M12" i="13" s="1"/>
  <c r="U12" i="13" s="1"/>
  <c r="D25" i="4"/>
  <c r="M11" i="13" s="1"/>
  <c r="U11" i="13" s="1"/>
  <c r="D73" i="4"/>
  <c r="E42" i="4"/>
  <c r="E23" i="11" s="1"/>
  <c r="D44" i="11"/>
  <c r="AI43" i="13" s="1"/>
  <c r="AQ43" i="13" s="1"/>
  <c r="E21" i="4"/>
  <c r="E17" i="9" s="1"/>
  <c r="E25" i="4"/>
  <c r="E18" i="11" s="1"/>
  <c r="E29" i="4"/>
  <c r="E19" i="11" s="1"/>
  <c r="D32" i="4"/>
  <c r="D20" i="11" s="1"/>
  <c r="AI13" i="13" s="1"/>
  <c r="E32" i="4"/>
  <c r="E36" i="4"/>
  <c r="E21" i="11" s="1"/>
  <c r="E39" i="4"/>
  <c r="E22" i="11" s="1"/>
  <c r="E45" i="4"/>
  <c r="E24" i="9" s="1"/>
  <c r="E49" i="4"/>
  <c r="E25" i="11" s="1"/>
  <c r="E52" i="4"/>
  <c r="E26" i="11" s="1"/>
  <c r="D75" i="4"/>
  <c r="U39" i="13" s="1"/>
  <c r="AJ17" i="19" s="1"/>
  <c r="AJ25" i="19" s="1"/>
  <c r="D62" i="4"/>
  <c r="D31" i="11" s="1"/>
  <c r="D15" i="4"/>
  <c r="D13" i="9" s="1"/>
  <c r="J24" i="3"/>
  <c r="D9" i="13"/>
  <c r="J9" i="13" s="1"/>
  <c r="J9" i="3"/>
  <c r="D10" i="13" s="1"/>
  <c r="J10" i="13" s="1"/>
  <c r="J10" i="3"/>
  <c r="D11" i="13"/>
  <c r="J11" i="13" s="1"/>
  <c r="J11" i="3"/>
  <c r="D12" i="13" s="1"/>
  <c r="J12" i="13" s="1"/>
  <c r="J12" i="3"/>
  <c r="D13" i="13" s="1"/>
  <c r="J13" i="13" s="1"/>
  <c r="J13" i="3"/>
  <c r="D14" i="13" s="1"/>
  <c r="J14" i="13" s="1"/>
  <c r="D22" i="9"/>
  <c r="X15" i="13" s="1"/>
  <c r="J14" i="3"/>
  <c r="D15" i="13" s="1"/>
  <c r="J15" i="13" s="1"/>
  <c r="D23" i="9"/>
  <c r="X16" i="13" s="1"/>
  <c r="J15" i="3"/>
  <c r="D16" i="13"/>
  <c r="J16" i="13" s="1"/>
  <c r="J17" i="3"/>
  <c r="D17" i="13"/>
  <c r="J17" i="13" s="1"/>
  <c r="D26" i="9"/>
  <c r="X18" i="13" s="1"/>
  <c r="J18" i="3"/>
  <c r="D18" i="13"/>
  <c r="J18" i="13" s="1"/>
  <c r="E20" i="9"/>
  <c r="F21" i="4"/>
  <c r="F17" i="9" s="1"/>
  <c r="F39" i="4"/>
  <c r="F22" i="11" s="1"/>
  <c r="F42" i="4"/>
  <c r="F23" i="11" s="1"/>
  <c r="J28" i="3"/>
  <c r="M30" i="13"/>
  <c r="U30" i="13" s="1"/>
  <c r="R30" i="13" s="1"/>
  <c r="J37" i="3"/>
  <c r="U31" i="13"/>
  <c r="D83" i="9"/>
  <c r="D90" i="9"/>
  <c r="X43" i="13"/>
  <c r="AF43" i="13" s="1"/>
  <c r="D24" i="9"/>
  <c r="D93" i="4"/>
  <c r="J25" i="3"/>
  <c r="X20" i="13"/>
  <c r="AF20" i="13" s="1"/>
  <c r="I43" i="3"/>
  <c r="H43" i="3"/>
  <c r="J43" i="3" s="1"/>
  <c r="J19" i="3"/>
  <c r="D19" i="13" s="1"/>
  <c r="J19" i="13" s="1"/>
  <c r="J16" i="3"/>
  <c r="M9" i="3"/>
  <c r="N9" i="3"/>
  <c r="K28" i="16"/>
  <c r="D40" i="9"/>
  <c r="D44" i="9" s="1"/>
  <c r="J29" i="3"/>
  <c r="D21" i="13" s="1"/>
  <c r="Q55" i="14"/>
  <c r="Q56" i="14"/>
  <c r="Q54" i="14"/>
  <c r="U44" i="13"/>
  <c r="U22" i="13"/>
  <c r="D18" i="11"/>
  <c r="D19" i="11"/>
  <c r="AI12" i="13" s="1"/>
  <c r="D35" i="11"/>
  <c r="D33" i="11" s="1"/>
  <c r="D56" i="11"/>
  <c r="AI24" i="13" s="1"/>
  <c r="AQ24" i="13" s="1"/>
  <c r="AN24" i="13" s="1"/>
  <c r="F23" i="15" s="1"/>
  <c r="D78" i="9"/>
  <c r="D76" i="9"/>
  <c r="E24" i="11"/>
  <c r="F49" i="4"/>
  <c r="F25" i="9" s="1"/>
  <c r="F45" i="4"/>
  <c r="F24" i="11" s="1"/>
  <c r="F36" i="4"/>
  <c r="F21" i="9" s="1"/>
  <c r="F32" i="4"/>
  <c r="F20" i="11" s="1"/>
  <c r="E20" i="11"/>
  <c r="AQ45" i="13"/>
  <c r="F28" i="15" s="1"/>
  <c r="Q16" i="14" s="1"/>
  <c r="D53" i="11"/>
  <c r="AI18" i="13"/>
  <c r="M18" i="13"/>
  <c r="U18" i="13" s="1"/>
  <c r="M24" i="13"/>
  <c r="U24" i="13" s="1"/>
  <c r="R24" i="13" s="1"/>
  <c r="F18" i="9"/>
  <c r="F19" i="9"/>
  <c r="F52" i="4"/>
  <c r="F26" i="11" s="1"/>
  <c r="D92" i="9"/>
  <c r="D94" i="9" s="1"/>
  <c r="X24" i="13" s="1"/>
  <c r="AF24" i="13" s="1"/>
  <c r="AC24" i="13" s="1"/>
  <c r="C36" i="15"/>
  <c r="AQ53" i="13"/>
  <c r="AQ31" i="13"/>
  <c r="D20" i="13"/>
  <c r="P48" i="13"/>
  <c r="T55" i="14"/>
  <c r="T56" i="14"/>
  <c r="T57" i="14"/>
  <c r="T58" i="14"/>
  <c r="T59" i="14"/>
  <c r="T60" i="14"/>
  <c r="T61" i="14"/>
  <c r="T62" i="14"/>
  <c r="T54" i="14"/>
  <c r="AA53" i="13"/>
  <c r="O55" i="14"/>
  <c r="AL45" i="13"/>
  <c r="AL41" i="13"/>
  <c r="AL44" i="13"/>
  <c r="AL40" i="13"/>
  <c r="AL22" i="13"/>
  <c r="AA44" i="13"/>
  <c r="P44" i="13"/>
  <c r="AA45" i="13"/>
  <c r="P45" i="13"/>
  <c r="AA22" i="13"/>
  <c r="P22" i="13"/>
  <c r="AA41" i="13"/>
  <c r="AA40" i="13"/>
  <c r="P41" i="13"/>
  <c r="P40" i="13"/>
  <c r="AL39" i="13"/>
  <c r="AA39" i="13"/>
  <c r="P39" i="13"/>
  <c r="AL16" i="13"/>
  <c r="AA16" i="13"/>
  <c r="P16" i="13"/>
  <c r="G16" i="13"/>
  <c r="AA51" i="13"/>
  <c r="P51" i="13"/>
  <c r="AA47" i="13"/>
  <c r="P47" i="13"/>
  <c r="AA31" i="13"/>
  <c r="AA30" i="13"/>
  <c r="P30" i="13"/>
  <c r="AL24" i="13"/>
  <c r="AA24" i="13"/>
  <c r="P24" i="13"/>
  <c r="AA20" i="13"/>
  <c r="G20" i="13"/>
  <c r="AL19" i="13"/>
  <c r="AA19" i="13"/>
  <c r="P19" i="13"/>
  <c r="G19" i="13"/>
  <c r="AL18" i="13"/>
  <c r="AA18" i="13"/>
  <c r="P18" i="13"/>
  <c r="G18" i="13"/>
  <c r="AL17" i="13"/>
  <c r="AA17" i="13"/>
  <c r="P17" i="13"/>
  <c r="G17" i="13"/>
  <c r="AL15" i="13"/>
  <c r="AA15" i="13"/>
  <c r="P15" i="13"/>
  <c r="G15" i="13"/>
  <c r="AL14" i="13"/>
  <c r="AA14" i="13"/>
  <c r="P14" i="13"/>
  <c r="G14" i="13"/>
  <c r="AL13" i="13"/>
  <c r="AA13" i="13"/>
  <c r="P13" i="13"/>
  <c r="G13" i="13"/>
  <c r="AL12" i="13"/>
  <c r="AA12" i="13"/>
  <c r="P12" i="13"/>
  <c r="G12" i="13"/>
  <c r="AL11" i="13"/>
  <c r="AA11" i="13"/>
  <c r="P11" i="13"/>
  <c r="G11" i="13"/>
  <c r="AL10" i="13"/>
  <c r="AA10" i="13"/>
  <c r="P10" i="13"/>
  <c r="G10" i="13"/>
  <c r="AL9" i="13"/>
  <c r="AA9" i="13"/>
  <c r="P9" i="13"/>
  <c r="G9" i="13"/>
  <c r="D82" i="4"/>
  <c r="D78" i="4"/>
  <c r="F31" i="3"/>
  <c r="F30" i="3"/>
  <c r="D95" i="4"/>
  <c r="F19" i="11"/>
  <c r="F18" i="11"/>
  <c r="D97" i="4"/>
  <c r="D53" i="4"/>
  <c r="F26" i="9"/>
  <c r="E26" i="9"/>
  <c r="D25" i="11"/>
  <c r="AI17" i="13" s="1"/>
  <c r="X120" i="19" l="1"/>
  <c r="Y120" i="19"/>
  <c r="Z120" i="19"/>
  <c r="AA120" i="19"/>
  <c r="AB120" i="19"/>
  <c r="U120" i="19"/>
  <c r="R120" i="19"/>
  <c r="S120" i="19"/>
  <c r="T120" i="19"/>
  <c r="W120" i="19"/>
  <c r="V120" i="19"/>
  <c r="AF15" i="13"/>
  <c r="AC15" i="13" s="1"/>
  <c r="J21" i="13"/>
  <c r="J22" i="13" s="1"/>
  <c r="R22" i="13" s="1"/>
  <c r="D19" i="15" s="1"/>
  <c r="P56" i="14"/>
  <c r="E23" i="15"/>
  <c r="AU12" i="19"/>
  <c r="D23" i="15"/>
  <c r="AR12" i="19"/>
  <c r="J51" i="13"/>
  <c r="X31" i="13"/>
  <c r="AC30" i="13"/>
  <c r="F24" i="9"/>
  <c r="D80" i="4"/>
  <c r="M9" i="13"/>
  <c r="U9" i="13" s="1"/>
  <c r="R9" i="13" s="1"/>
  <c r="E22" i="9"/>
  <c r="F20" i="9"/>
  <c r="D61" i="9"/>
  <c r="F17" i="11"/>
  <c r="E17" i="11"/>
  <c r="D25" i="9"/>
  <c r="X17" i="13" s="1"/>
  <c r="AF17" i="13" s="1"/>
  <c r="AC17" i="13" s="1"/>
  <c r="D84" i="4"/>
  <c r="F21" i="11"/>
  <c r="D21" i="9"/>
  <c r="X14" i="13" s="1"/>
  <c r="AF14" i="13" s="1"/>
  <c r="AC14" i="13" s="1"/>
  <c r="D21" i="11"/>
  <c r="AI14" i="13" s="1"/>
  <c r="AQ14" i="13" s="1"/>
  <c r="AN14" i="13" s="1"/>
  <c r="E25" i="9"/>
  <c r="D51" i="11"/>
  <c r="AI30" i="13" s="1"/>
  <c r="D41" i="11"/>
  <c r="AI39" i="13" s="1"/>
  <c r="AQ39" i="13" s="1"/>
  <c r="AI44" i="13" s="1"/>
  <c r="AQ44" i="13" s="1"/>
  <c r="F22" i="9"/>
  <c r="E19" i="9"/>
  <c r="E18" i="9"/>
  <c r="D19" i="9"/>
  <c r="X12" i="13" s="1"/>
  <c r="AF12" i="13" s="1"/>
  <c r="AC12" i="13" s="1"/>
  <c r="D13" i="11"/>
  <c r="AI9" i="13" s="1"/>
  <c r="AQ9" i="13" s="1"/>
  <c r="AN9" i="13" s="1"/>
  <c r="F17" i="15" s="1"/>
  <c r="F23" i="9"/>
  <c r="E23" i="9"/>
  <c r="D18" i="9"/>
  <c r="X11" i="13" s="1"/>
  <c r="AF11" i="13" s="1"/>
  <c r="AC11" i="13" s="1"/>
  <c r="F25" i="11"/>
  <c r="M13" i="13"/>
  <c r="U13" i="13" s="1"/>
  <c r="R13" i="13" s="1"/>
  <c r="D17" i="9"/>
  <c r="X10" i="13" s="1"/>
  <c r="AF10" i="13" s="1"/>
  <c r="E21" i="9"/>
  <c r="D50" i="9"/>
  <c r="D55" i="9" s="1"/>
  <c r="D36" i="11"/>
  <c r="M10" i="13"/>
  <c r="U10" i="13" s="1"/>
  <c r="D67" i="4"/>
  <c r="D20" i="9"/>
  <c r="X13" i="13" s="1"/>
  <c r="AF13" i="13" s="1"/>
  <c r="AC13" i="13" s="1"/>
  <c r="AQ18" i="13"/>
  <c r="AN18" i="13" s="1"/>
  <c r="D40" i="15"/>
  <c r="R14" i="13"/>
  <c r="X39" i="13"/>
  <c r="AF39" i="13" s="1"/>
  <c r="AK17" i="19" s="1"/>
  <c r="X9" i="13"/>
  <c r="AF9" i="13" s="1"/>
  <c r="AC9" i="13" s="1"/>
  <c r="AI11" i="13"/>
  <c r="AQ11" i="13" s="1"/>
  <c r="AN11" i="13" s="1"/>
  <c r="M51" i="13"/>
  <c r="AI51" i="13"/>
  <c r="AQ51" i="13" s="1"/>
  <c r="AN51" i="13" s="1"/>
  <c r="X51" i="13"/>
  <c r="R32" i="13"/>
  <c r="H9" i="15" s="1"/>
  <c r="D9" i="15" s="1"/>
  <c r="D37" i="15"/>
  <c r="R15" i="13"/>
  <c r="P54" i="14"/>
  <c r="D36" i="13"/>
  <c r="R11" i="13"/>
  <c r="M45" i="13"/>
  <c r="U45" i="13" s="1"/>
  <c r="R16" i="13"/>
  <c r="P55" i="14"/>
  <c r="R17" i="13"/>
  <c r="AQ17" i="13"/>
  <c r="AN17" i="13" s="1"/>
  <c r="AQ16" i="13"/>
  <c r="AN16" i="13" s="1"/>
  <c r="AF16" i="13"/>
  <c r="AC16" i="13" s="1"/>
  <c r="AQ15" i="13"/>
  <c r="AN15" i="13" s="1"/>
  <c r="AQ13" i="13"/>
  <c r="AN13" i="13" s="1"/>
  <c r="AF18" i="13"/>
  <c r="AC18" i="13" s="1"/>
  <c r="AQ12" i="13"/>
  <c r="AN12" i="13" s="1"/>
  <c r="AC20" i="13"/>
  <c r="AU14" i="19" s="1"/>
  <c r="R18" i="13"/>
  <c r="D18" i="15"/>
  <c r="R12" i="13"/>
  <c r="AU4" i="19" l="1"/>
  <c r="AU7" i="19" s="1"/>
  <c r="AF31" i="13"/>
  <c r="AC31" i="13" s="1"/>
  <c r="AC32" i="13" s="1"/>
  <c r="AB118" i="19"/>
  <c r="X118" i="19"/>
  <c r="Y118" i="19"/>
  <c r="Z118" i="19"/>
  <c r="AA118" i="19"/>
  <c r="E118" i="19"/>
  <c r="U118" i="19"/>
  <c r="G118" i="19"/>
  <c r="F118" i="19"/>
  <c r="V118" i="19"/>
  <c r="H118" i="19"/>
  <c r="D118" i="19"/>
  <c r="J118" i="19"/>
  <c r="I118" i="19"/>
  <c r="K118" i="19"/>
  <c r="L118" i="19"/>
  <c r="O118" i="19"/>
  <c r="S118" i="19"/>
  <c r="M118" i="19"/>
  <c r="N118" i="19"/>
  <c r="P118" i="19"/>
  <c r="Q118" i="19"/>
  <c r="R118" i="19"/>
  <c r="T118" i="19"/>
  <c r="W118" i="19"/>
  <c r="AF51" i="13"/>
  <c r="AL29" i="19" s="1"/>
  <c r="Y30" i="21"/>
  <c r="AA30" i="21"/>
  <c r="Z30" i="21"/>
  <c r="AB30" i="21"/>
  <c r="AC30" i="21"/>
  <c r="AD30" i="21"/>
  <c r="O30" i="21"/>
  <c r="AE30" i="21"/>
  <c r="P30" i="21"/>
  <c r="AF30" i="21"/>
  <c r="S30" i="21"/>
  <c r="Q30" i="21"/>
  <c r="AG30" i="21"/>
  <c r="R30" i="21"/>
  <c r="N30" i="21"/>
  <c r="T30" i="21"/>
  <c r="U30" i="21"/>
  <c r="V30" i="21"/>
  <c r="W30" i="21"/>
  <c r="X30" i="21"/>
  <c r="U51" i="13"/>
  <c r="AK29" i="19" s="1"/>
  <c r="W25" i="21"/>
  <c r="W26" i="21" s="1"/>
  <c r="Y25" i="21"/>
  <c r="Y26" i="21" s="1"/>
  <c r="X25" i="21"/>
  <c r="X26" i="21" s="1"/>
  <c r="Z25" i="21"/>
  <c r="Z26" i="21" s="1"/>
  <c r="AB25" i="21"/>
  <c r="AA25" i="21"/>
  <c r="AA26" i="21" s="1"/>
  <c r="AC25" i="21"/>
  <c r="N25" i="21"/>
  <c r="N26" i="21" s="1"/>
  <c r="AD25" i="21"/>
  <c r="O25" i="21"/>
  <c r="O26" i="21" s="1"/>
  <c r="P25" i="21"/>
  <c r="P26" i="21" s="1"/>
  <c r="AG25" i="21"/>
  <c r="AE25" i="21"/>
  <c r="AF25" i="21"/>
  <c r="R25" i="21"/>
  <c r="R26" i="21" s="1"/>
  <c r="Q25" i="21"/>
  <c r="Q26" i="21" s="1"/>
  <c r="S25" i="21"/>
  <c r="S26" i="21" s="1"/>
  <c r="U25" i="21"/>
  <c r="U26" i="21" s="1"/>
  <c r="T25" i="21"/>
  <c r="T26" i="21" s="1"/>
  <c r="V25" i="21"/>
  <c r="V26" i="21" s="1"/>
  <c r="AQ30" i="13"/>
  <c r="AN30" i="13" s="1"/>
  <c r="AN32" i="13" s="1"/>
  <c r="J9" i="15" s="1"/>
  <c r="F9" i="15" s="1"/>
  <c r="AK21" i="19"/>
  <c r="E17" i="15"/>
  <c r="AU11" i="19"/>
  <c r="M41" i="13"/>
  <c r="M48" i="13" s="1"/>
  <c r="U48" i="13" s="1"/>
  <c r="M40" i="13"/>
  <c r="D17" i="15"/>
  <c r="AR11" i="19"/>
  <c r="E18" i="15"/>
  <c r="AU5" i="19"/>
  <c r="AI19" i="13"/>
  <c r="AQ19" i="13" s="1"/>
  <c r="AN19" i="13" s="1"/>
  <c r="F22" i="15" s="1"/>
  <c r="D45" i="11"/>
  <c r="D17" i="11"/>
  <c r="D27" i="11" s="1"/>
  <c r="AI22" i="13"/>
  <c r="AQ22" i="13" s="1"/>
  <c r="AN22" i="13" s="1"/>
  <c r="F19" i="15" s="1"/>
  <c r="D62" i="9"/>
  <c r="D66" i="9" s="1"/>
  <c r="D63" i="9"/>
  <c r="D27" i="9"/>
  <c r="M19" i="13"/>
  <c r="U19" i="13" s="1"/>
  <c r="R10" i="13"/>
  <c r="D21" i="15" s="1"/>
  <c r="AC10" i="13"/>
  <c r="X40" i="13"/>
  <c r="AF40" i="13" s="1"/>
  <c r="X44" i="13" s="1"/>
  <c r="X47" i="13" s="1"/>
  <c r="X41" i="13"/>
  <c r="AC51" i="13" l="1"/>
  <c r="AW4" i="19"/>
  <c r="R51" i="13"/>
  <c r="F66" i="19"/>
  <c r="F120" i="19" s="1"/>
  <c r="P31" i="21"/>
  <c r="F67" i="19" s="1"/>
  <c r="D66" i="19"/>
  <c r="D120" i="19" s="1"/>
  <c r="N31" i="21"/>
  <c r="D67" i="19" s="1"/>
  <c r="E21" i="15"/>
  <c r="E66" i="19"/>
  <c r="E120" i="19" s="1"/>
  <c r="O31" i="21"/>
  <c r="E67" i="19" s="1"/>
  <c r="Q66" i="19"/>
  <c r="Q120" i="19" s="1"/>
  <c r="AA31" i="21"/>
  <c r="Q67" i="19" s="1"/>
  <c r="L66" i="19"/>
  <c r="L120" i="19" s="1"/>
  <c r="V31" i="21"/>
  <c r="L67" i="19" s="1"/>
  <c r="P66" i="19"/>
  <c r="P120" i="19" s="1"/>
  <c r="Z31" i="21"/>
  <c r="P67" i="19" s="1"/>
  <c r="N66" i="19"/>
  <c r="N120" i="19" s="1"/>
  <c r="X31" i="21"/>
  <c r="N67" i="19" s="1"/>
  <c r="O66" i="19"/>
  <c r="O120" i="19" s="1"/>
  <c r="Y31" i="21"/>
  <c r="O67" i="19" s="1"/>
  <c r="I9" i="15"/>
  <c r="AB125" i="19"/>
  <c r="S125" i="19"/>
  <c r="T125" i="19"/>
  <c r="E125" i="19"/>
  <c r="U125" i="19"/>
  <c r="F125" i="19"/>
  <c r="V125" i="19"/>
  <c r="G125" i="19"/>
  <c r="W125" i="19"/>
  <c r="H125" i="19"/>
  <c r="D125" i="19"/>
  <c r="I125" i="19"/>
  <c r="J125" i="19"/>
  <c r="K125" i="19"/>
  <c r="L125" i="19"/>
  <c r="M125" i="19"/>
  <c r="N125" i="19"/>
  <c r="X125" i="19"/>
  <c r="O125" i="19"/>
  <c r="Y125" i="19"/>
  <c r="P125" i="19"/>
  <c r="Z125" i="19"/>
  <c r="Q125" i="19"/>
  <c r="AA125" i="19"/>
  <c r="R125" i="19"/>
  <c r="J66" i="19"/>
  <c r="J120" i="19" s="1"/>
  <c r="T31" i="21"/>
  <c r="J67" i="19" s="1"/>
  <c r="K66" i="19"/>
  <c r="K120" i="19" s="1"/>
  <c r="U31" i="21"/>
  <c r="K67" i="19" s="1"/>
  <c r="I66" i="19"/>
  <c r="I120" i="19" s="1"/>
  <c r="S31" i="21"/>
  <c r="I67" i="19" s="1"/>
  <c r="M66" i="19"/>
  <c r="M120" i="19" s="1"/>
  <c r="W31" i="21"/>
  <c r="M67" i="19" s="1"/>
  <c r="U41" i="13"/>
  <c r="G66" i="19"/>
  <c r="G120" i="19" s="1"/>
  <c r="Q31" i="21"/>
  <c r="G67" i="19" s="1"/>
  <c r="H66" i="19"/>
  <c r="H120" i="19" s="1"/>
  <c r="R31" i="21"/>
  <c r="H67" i="19" s="1"/>
  <c r="M47" i="13"/>
  <c r="M49" i="13" s="1"/>
  <c r="U49" i="13" s="1"/>
  <c r="AW7" i="19"/>
  <c r="AK23" i="19"/>
  <c r="S85" i="19" s="1"/>
  <c r="AU13" i="19"/>
  <c r="R19" i="13"/>
  <c r="D22" i="15" s="1"/>
  <c r="AR13" i="19"/>
  <c r="AK25" i="19"/>
  <c r="AU8" i="19"/>
  <c r="AW8" i="19" s="1"/>
  <c r="D49" i="9"/>
  <c r="D37" i="11"/>
  <c r="D42" i="11"/>
  <c r="D47" i="11" s="1"/>
  <c r="D43" i="11"/>
  <c r="AI10" i="13"/>
  <c r="AQ10" i="13" s="1"/>
  <c r="D67" i="9"/>
  <c r="D70" i="9" s="1"/>
  <c r="U40" i="13"/>
  <c r="D69" i="9"/>
  <c r="AF44" i="13"/>
  <c r="AF41" i="13"/>
  <c r="E9" i="15" l="1"/>
  <c r="R26" i="13"/>
  <c r="D84" i="19"/>
  <c r="U81" i="19"/>
  <c r="P81" i="19"/>
  <c r="O85" i="19"/>
  <c r="Q80" i="19"/>
  <c r="J80" i="19"/>
  <c r="T83" i="19"/>
  <c r="O80" i="19"/>
  <c r="U80" i="19"/>
  <c r="W85" i="19"/>
  <c r="R83" i="19"/>
  <c r="L85" i="19"/>
  <c r="U84" i="19"/>
  <c r="H83" i="19"/>
  <c r="O83" i="19"/>
  <c r="X127" i="19"/>
  <c r="Y127" i="19"/>
  <c r="Z127" i="19"/>
  <c r="AA127" i="19"/>
  <c r="AB127" i="19"/>
  <c r="O82" i="19"/>
  <c r="J84" i="19"/>
  <c r="I80" i="19"/>
  <c r="M84" i="19"/>
  <c r="F81" i="19"/>
  <c r="J83" i="19"/>
  <c r="N82" i="19"/>
  <c r="V85" i="19"/>
  <c r="N85" i="19"/>
  <c r="U82" i="19"/>
  <c r="S83" i="19"/>
  <c r="J81" i="19"/>
  <c r="K83" i="19"/>
  <c r="I85" i="19"/>
  <c r="G83" i="19"/>
  <c r="L81" i="19"/>
  <c r="H81" i="19"/>
  <c r="Q82" i="19"/>
  <c r="E83" i="19"/>
  <c r="G81" i="19"/>
  <c r="R80" i="19"/>
  <c r="J82" i="19"/>
  <c r="E85" i="19"/>
  <c r="I84" i="19"/>
  <c r="F85" i="19"/>
  <c r="D85" i="19"/>
  <c r="D82" i="19"/>
  <c r="Q81" i="19"/>
  <c r="I81" i="19"/>
  <c r="Q83" i="19"/>
  <c r="T82" i="19"/>
  <c r="H84" i="19"/>
  <c r="W83" i="19"/>
  <c r="F84" i="19"/>
  <c r="R82" i="19"/>
  <c r="Q85" i="19"/>
  <c r="V82" i="19"/>
  <c r="R81" i="19"/>
  <c r="J85" i="19"/>
  <c r="Q84" i="19"/>
  <c r="H70" i="19"/>
  <c r="J127" i="19"/>
  <c r="F127" i="19"/>
  <c r="G127" i="19"/>
  <c r="P127" i="19"/>
  <c r="S127" i="19"/>
  <c r="O127" i="19"/>
  <c r="U127" i="19"/>
  <c r="E127" i="19"/>
  <c r="R127" i="19"/>
  <c r="Q127" i="19"/>
  <c r="I127" i="19"/>
  <c r="N127" i="19"/>
  <c r="V127" i="19"/>
  <c r="D127" i="19"/>
  <c r="T127" i="19"/>
  <c r="M127" i="19"/>
  <c r="H127" i="19"/>
  <c r="W127" i="19"/>
  <c r="L127" i="19"/>
  <c r="K127" i="19"/>
  <c r="U85" i="19"/>
  <c r="M80" i="19"/>
  <c r="D80" i="19"/>
  <c r="K80" i="19"/>
  <c r="D81" i="19"/>
  <c r="P84" i="19"/>
  <c r="P83" i="19"/>
  <c r="S84" i="19"/>
  <c r="I82" i="19"/>
  <c r="L84" i="19"/>
  <c r="W81" i="19"/>
  <c r="S81" i="19"/>
  <c r="V83" i="19"/>
  <c r="M83" i="19"/>
  <c r="P82" i="19"/>
  <c r="F80" i="19"/>
  <c r="K81" i="19"/>
  <c r="E82" i="19"/>
  <c r="E80" i="19"/>
  <c r="K85" i="19"/>
  <c r="V81" i="19"/>
  <c r="H80" i="19"/>
  <c r="N83" i="19"/>
  <c r="F83" i="19"/>
  <c r="S80" i="19"/>
  <c r="N84" i="19"/>
  <c r="O84" i="19"/>
  <c r="N81" i="19"/>
  <c r="V80" i="19"/>
  <c r="S82" i="19"/>
  <c r="N80" i="19"/>
  <c r="H7" i="19"/>
  <c r="H14" i="19" s="1"/>
  <c r="AI40" i="13"/>
  <c r="AQ40" i="13" s="1"/>
  <c r="AI41" i="13"/>
  <c r="AI48" i="13" s="1"/>
  <c r="AQ48" i="13" s="1"/>
  <c r="AN48" i="13" s="1"/>
  <c r="AW9" i="19"/>
  <c r="F82" i="19"/>
  <c r="T81" i="19"/>
  <c r="R85" i="19"/>
  <c r="U47" i="13"/>
  <c r="R47" i="13" s="1"/>
  <c r="H82" i="19"/>
  <c r="L83" i="19"/>
  <c r="K84" i="19"/>
  <c r="M82" i="19"/>
  <c r="W84" i="19"/>
  <c r="M85" i="19"/>
  <c r="G80" i="19"/>
  <c r="V84" i="19"/>
  <c r="E84" i="19"/>
  <c r="U83" i="19"/>
  <c r="E81" i="19"/>
  <c r="H85" i="19"/>
  <c r="K82" i="19"/>
  <c r="T84" i="19"/>
  <c r="I83" i="19"/>
  <c r="T85" i="19"/>
  <c r="W80" i="19"/>
  <c r="G82" i="19"/>
  <c r="G85" i="19"/>
  <c r="D83" i="19"/>
  <c r="M81" i="19"/>
  <c r="T80" i="19"/>
  <c r="L80" i="19"/>
  <c r="L82" i="19"/>
  <c r="P85" i="19"/>
  <c r="G84" i="19"/>
  <c r="W82" i="19"/>
  <c r="P80" i="19"/>
  <c r="R84" i="19"/>
  <c r="O81" i="19"/>
  <c r="K9" i="19"/>
  <c r="M7" i="19"/>
  <c r="M9" i="19"/>
  <c r="M11" i="19"/>
  <c r="R10" i="19"/>
  <c r="S11" i="19"/>
  <c r="M8" i="19"/>
  <c r="M12" i="19"/>
  <c r="O10" i="19"/>
  <c r="R11" i="19"/>
  <c r="N11" i="19"/>
  <c r="L7" i="19"/>
  <c r="N9" i="19"/>
  <c r="U12" i="19"/>
  <c r="Q8" i="19"/>
  <c r="Q12" i="19"/>
  <c r="K7" i="19"/>
  <c r="K14" i="19" s="1"/>
  <c r="Q10" i="19"/>
  <c r="N10" i="19"/>
  <c r="R9" i="19"/>
  <c r="U11" i="19"/>
  <c r="O12" i="19"/>
  <c r="L10" i="19"/>
  <c r="O11" i="19"/>
  <c r="J9" i="19"/>
  <c r="N8" i="19"/>
  <c r="N12" i="19"/>
  <c r="S10" i="19"/>
  <c r="P12" i="19"/>
  <c r="L11" i="19"/>
  <c r="J7" i="19"/>
  <c r="J14" i="19" s="1"/>
  <c r="I7" i="19"/>
  <c r="I14" i="19" s="1"/>
  <c r="J8" i="19"/>
  <c r="R12" i="19"/>
  <c r="P9" i="19"/>
  <c r="I8" i="19"/>
  <c r="I15" i="19" s="1"/>
  <c r="P11" i="19"/>
  <c r="N7" i="19"/>
  <c r="L9" i="19"/>
  <c r="K8" i="19"/>
  <c r="Q11" i="19"/>
  <c r="R8" i="19"/>
  <c r="S9" i="19"/>
  <c r="T12" i="19"/>
  <c r="P10" i="19"/>
  <c r="T11" i="19"/>
  <c r="V12" i="19"/>
  <c r="Q7" i="19"/>
  <c r="O9" i="19"/>
  <c r="P8" i="19"/>
  <c r="L8" i="19"/>
  <c r="M10" i="19"/>
  <c r="P7" i="19"/>
  <c r="O7" i="19"/>
  <c r="O8" i="19"/>
  <c r="K10" i="19"/>
  <c r="T10" i="19"/>
  <c r="S12" i="19"/>
  <c r="Q9" i="19"/>
  <c r="K72" i="19"/>
  <c r="O92" i="19"/>
  <c r="Q94" i="19"/>
  <c r="M91" i="19"/>
  <c r="O90" i="19"/>
  <c r="S89" i="19"/>
  <c r="M74" i="19"/>
  <c r="N75" i="19"/>
  <c r="K74" i="19"/>
  <c r="H72" i="19"/>
  <c r="H74" i="19"/>
  <c r="R72" i="19"/>
  <c r="I71" i="19"/>
  <c r="V71" i="19"/>
  <c r="L75" i="19"/>
  <c r="K73" i="19"/>
  <c r="V72" i="19"/>
  <c r="M90" i="19"/>
  <c r="L92" i="19"/>
  <c r="M94" i="19"/>
  <c r="Q91" i="19"/>
  <c r="U93" i="19"/>
  <c r="N90" i="19"/>
  <c r="N89" i="19"/>
  <c r="O93" i="19"/>
  <c r="F73" i="19"/>
  <c r="E70" i="19"/>
  <c r="I73" i="19"/>
  <c r="O70" i="19"/>
  <c r="I72" i="19"/>
  <c r="W75" i="19"/>
  <c r="L74" i="19"/>
  <c r="D71" i="19"/>
  <c r="J71" i="19"/>
  <c r="R75" i="19"/>
  <c r="N93" i="19"/>
  <c r="Q90" i="19"/>
  <c r="L89" i="19"/>
  <c r="I75" i="19"/>
  <c r="T90" i="19"/>
  <c r="R90" i="19"/>
  <c r="K92" i="19"/>
  <c r="M89" i="19"/>
  <c r="V94" i="19"/>
  <c r="R92" i="19"/>
  <c r="K71" i="19"/>
  <c r="O73" i="19"/>
  <c r="S73" i="19"/>
  <c r="V70" i="19"/>
  <c r="R70" i="19"/>
  <c r="T72" i="19"/>
  <c r="Q89" i="19"/>
  <c r="K90" i="19"/>
  <c r="O94" i="19"/>
  <c r="M92" i="19"/>
  <c r="T91" i="19"/>
  <c r="F71" i="19"/>
  <c r="D72" i="19"/>
  <c r="E75" i="19"/>
  <c r="U71" i="19"/>
  <c r="U72" i="19"/>
  <c r="Q73" i="19"/>
  <c r="J73" i="19"/>
  <c r="F75" i="19"/>
  <c r="I89" i="19"/>
  <c r="J75" i="19"/>
  <c r="Q92" i="19"/>
  <c r="P71" i="19"/>
  <c r="L93" i="19"/>
  <c r="S70" i="19"/>
  <c r="T94" i="19"/>
  <c r="J89" i="19"/>
  <c r="S93" i="19"/>
  <c r="O91" i="19"/>
  <c r="U90" i="19"/>
  <c r="J72" i="19"/>
  <c r="Q70" i="19"/>
  <c r="T74" i="19"/>
  <c r="G73" i="19"/>
  <c r="F72" i="19"/>
  <c r="N71" i="19"/>
  <c r="N72" i="19"/>
  <c r="V74" i="19"/>
  <c r="E73" i="19"/>
  <c r="M70" i="19"/>
  <c r="P89" i="19"/>
  <c r="I74" i="19"/>
  <c r="U74" i="19"/>
  <c r="Q93" i="19"/>
  <c r="R94" i="19"/>
  <c r="V92" i="19"/>
  <c r="P90" i="19"/>
  <c r="T89" i="19"/>
  <c r="O72" i="19"/>
  <c r="K75" i="19"/>
  <c r="G70" i="19"/>
  <c r="S74" i="19"/>
  <c r="U75" i="19"/>
  <c r="E74" i="19"/>
  <c r="W72" i="19"/>
  <c r="N70" i="19"/>
  <c r="P70" i="19"/>
  <c r="L73" i="19"/>
  <c r="W73" i="19"/>
  <c r="U70" i="19"/>
  <c r="T92" i="19"/>
  <c r="V93" i="19"/>
  <c r="J91" i="19"/>
  <c r="O89" i="19"/>
  <c r="P93" i="19"/>
  <c r="G75" i="19"/>
  <c r="W71" i="19"/>
  <c r="M75" i="19"/>
  <c r="T75" i="19"/>
  <c r="J70" i="19"/>
  <c r="T71" i="19"/>
  <c r="O75" i="19"/>
  <c r="F70" i="19"/>
  <c r="M72" i="19"/>
  <c r="M71" i="19"/>
  <c r="V91" i="19"/>
  <c r="K91" i="19"/>
  <c r="H89" i="19"/>
  <c r="M93" i="19"/>
  <c r="S92" i="19"/>
  <c r="R71" i="19"/>
  <c r="W70" i="19"/>
  <c r="E71" i="19"/>
  <c r="N73" i="19"/>
  <c r="F74" i="19"/>
  <c r="G74" i="19"/>
  <c r="Q75" i="19"/>
  <c r="W90" i="19"/>
  <c r="L90" i="19"/>
  <c r="P94" i="19"/>
  <c r="P92" i="19"/>
  <c r="U91" i="19"/>
  <c r="P73" i="19"/>
  <c r="I70" i="19"/>
  <c r="D70" i="19"/>
  <c r="V73" i="19"/>
  <c r="P72" i="19"/>
  <c r="H71" i="19"/>
  <c r="S72" i="19"/>
  <c r="T70" i="19"/>
  <c r="W74" i="19"/>
  <c r="V89" i="19"/>
  <c r="K89" i="19"/>
  <c r="T93" i="19"/>
  <c r="R91" i="19"/>
  <c r="V90" i="19"/>
  <c r="E72" i="19"/>
  <c r="S75" i="19"/>
  <c r="O71" i="19"/>
  <c r="R74" i="19"/>
  <c r="N74" i="19"/>
  <c r="L72" i="19"/>
  <c r="P75" i="19"/>
  <c r="P91" i="19"/>
  <c r="L70" i="19"/>
  <c r="W91" i="19"/>
  <c r="H73" i="19"/>
  <c r="S91" i="19"/>
  <c r="W89" i="19"/>
  <c r="S71" i="19"/>
  <c r="W94" i="19"/>
  <c r="N94" i="19"/>
  <c r="S94" i="19"/>
  <c r="W92" i="19"/>
  <c r="S90" i="19"/>
  <c r="U89" i="19"/>
  <c r="Q72" i="19"/>
  <c r="D75" i="19"/>
  <c r="H75" i="19"/>
  <c r="R73" i="19"/>
  <c r="Q74" i="19"/>
  <c r="U73" i="19"/>
  <c r="D74" i="19"/>
  <c r="U92" i="19"/>
  <c r="L71" i="19"/>
  <c r="U94" i="19"/>
  <c r="M73" i="19"/>
  <c r="N91" i="19"/>
  <c r="N92" i="19"/>
  <c r="R93" i="19"/>
  <c r="W93" i="19"/>
  <c r="J90" i="19"/>
  <c r="R89" i="19"/>
  <c r="K70" i="19"/>
  <c r="O74" i="19"/>
  <c r="P74" i="19"/>
  <c r="Q71" i="19"/>
  <c r="D73" i="19"/>
  <c r="T73" i="19"/>
  <c r="J74" i="19"/>
  <c r="V75" i="19"/>
  <c r="L91" i="19"/>
  <c r="G72" i="19"/>
  <c r="I90" i="19"/>
  <c r="G71" i="19"/>
  <c r="D56" i="9"/>
  <c r="G13" i="19"/>
  <c r="F13" i="19"/>
  <c r="AN10" i="13"/>
  <c r="AN26" i="13" s="1"/>
  <c r="F10" i="15" s="1"/>
  <c r="D71" i="9"/>
  <c r="AF47" i="13"/>
  <c r="X45" i="13"/>
  <c r="X49" i="13" s="1"/>
  <c r="J86" i="19" l="1"/>
  <c r="E27" i="15"/>
  <c r="P15" i="14" s="1"/>
  <c r="U86" i="19"/>
  <c r="Q86" i="19"/>
  <c r="AI47" i="13"/>
  <c r="AI49" i="13" s="1"/>
  <c r="E86" i="19"/>
  <c r="S86" i="19"/>
  <c r="D86" i="19"/>
  <c r="D10" i="15"/>
  <c r="X119" i="19"/>
  <c r="Y119" i="19"/>
  <c r="Z119" i="19"/>
  <c r="AA119" i="19"/>
  <c r="AB119" i="19"/>
  <c r="I119" i="19"/>
  <c r="J119" i="19"/>
  <c r="K119" i="19"/>
  <c r="L119" i="19"/>
  <c r="M119" i="19"/>
  <c r="G119" i="19"/>
  <c r="N119" i="19"/>
  <c r="O119" i="19"/>
  <c r="P119" i="19"/>
  <c r="Q119" i="19"/>
  <c r="R119" i="19"/>
  <c r="T119" i="19"/>
  <c r="S119" i="19"/>
  <c r="E119" i="19"/>
  <c r="U119" i="19"/>
  <c r="F119" i="19"/>
  <c r="V119" i="19"/>
  <c r="W119" i="19"/>
  <c r="H119" i="19"/>
  <c r="D119" i="19"/>
  <c r="N86" i="19"/>
  <c r="P86" i="19"/>
  <c r="O86" i="19"/>
  <c r="F86" i="19"/>
  <c r="AC84" i="19"/>
  <c r="R86" i="19"/>
  <c r="L86" i="19"/>
  <c r="V86" i="19"/>
  <c r="M86" i="19"/>
  <c r="H86" i="19"/>
  <c r="G86" i="19"/>
  <c r="W86" i="19"/>
  <c r="T86" i="19"/>
  <c r="H11" i="15"/>
  <c r="L11" i="15"/>
  <c r="AC83" i="19"/>
  <c r="K86" i="19"/>
  <c r="AC81" i="19"/>
  <c r="AC80" i="19"/>
  <c r="I86" i="19"/>
  <c r="AC85" i="19"/>
  <c r="AC82" i="19"/>
  <c r="X22" i="13"/>
  <c r="AF22" i="13" s="1"/>
  <c r="AC22" i="13" s="1"/>
  <c r="E19" i="15" s="1"/>
  <c r="X48" i="13"/>
  <c r="AF48" i="13" s="1"/>
  <c r="AC48" i="13" s="1"/>
  <c r="F76" i="19"/>
  <c r="I95" i="19"/>
  <c r="K95" i="19"/>
  <c r="V95" i="19"/>
  <c r="N76" i="19"/>
  <c r="P76" i="19"/>
  <c r="K15" i="19"/>
  <c r="O15" i="19"/>
  <c r="H13" i="19"/>
  <c r="AC11" i="19"/>
  <c r="AC10" i="19"/>
  <c r="AC12" i="19"/>
  <c r="AC9" i="19"/>
  <c r="K13" i="19"/>
  <c r="S76" i="19"/>
  <c r="S95" i="19"/>
  <c r="H76" i="19"/>
  <c r="Q14" i="19"/>
  <c r="Q13" i="19"/>
  <c r="M76" i="19"/>
  <c r="AC94" i="19"/>
  <c r="L14" i="19"/>
  <c r="L13" i="19"/>
  <c r="AC73" i="19"/>
  <c r="R76" i="19"/>
  <c r="S15" i="19"/>
  <c r="S13" i="19"/>
  <c r="P95" i="19"/>
  <c r="J76" i="19"/>
  <c r="V76" i="19"/>
  <c r="G76" i="19"/>
  <c r="J13" i="19"/>
  <c r="W76" i="19"/>
  <c r="Q95" i="19"/>
  <c r="N15" i="19"/>
  <c r="K76" i="19"/>
  <c r="AC75" i="19"/>
  <c r="O14" i="19"/>
  <c r="O13" i="19"/>
  <c r="M15" i="19"/>
  <c r="V15" i="19"/>
  <c r="V13" i="19"/>
  <c r="L76" i="19"/>
  <c r="R95" i="19"/>
  <c r="O95" i="19"/>
  <c r="T95" i="19"/>
  <c r="Q76" i="19"/>
  <c r="O76" i="19"/>
  <c r="P14" i="19"/>
  <c r="P13" i="19"/>
  <c r="N13" i="19"/>
  <c r="N14" i="19"/>
  <c r="I13" i="19"/>
  <c r="AC71" i="19"/>
  <c r="U95" i="19"/>
  <c r="D76" i="19"/>
  <c r="AC70" i="19"/>
  <c r="AC91" i="19"/>
  <c r="U15" i="19"/>
  <c r="U13" i="19"/>
  <c r="AG31" i="19"/>
  <c r="W95" i="19"/>
  <c r="R15" i="19"/>
  <c r="R13" i="19"/>
  <c r="AC7" i="19"/>
  <c r="I76" i="19"/>
  <c r="H95" i="19"/>
  <c r="AC89" i="19"/>
  <c r="M95" i="19"/>
  <c r="E76" i="19"/>
  <c r="L15" i="19"/>
  <c r="Q15" i="19"/>
  <c r="T13" i="19"/>
  <c r="T15" i="19"/>
  <c r="AC72" i="19"/>
  <c r="AC92" i="19"/>
  <c r="P15" i="19"/>
  <c r="L95" i="19"/>
  <c r="AC74" i="19"/>
  <c r="U76" i="19"/>
  <c r="M14" i="19"/>
  <c r="M13" i="19"/>
  <c r="AC93" i="19"/>
  <c r="T76" i="19"/>
  <c r="AC8" i="19"/>
  <c r="AC90" i="19"/>
  <c r="J95" i="19"/>
  <c r="N95" i="19"/>
  <c r="J15" i="19"/>
  <c r="AQ41" i="13"/>
  <c r="F21" i="15"/>
  <c r="AC47" i="13"/>
  <c r="AF45" i="13"/>
  <c r="X19" i="13" s="1"/>
  <c r="AQ47" i="13" l="1"/>
  <c r="F27" i="15" s="1"/>
  <c r="Q15" i="14" s="1"/>
  <c r="D11" i="15"/>
  <c r="D13" i="15" s="1"/>
  <c r="D15" i="14" s="1"/>
  <c r="G121" i="19"/>
  <c r="G122" i="19"/>
  <c r="M122" i="19"/>
  <c r="M121" i="19"/>
  <c r="D122" i="19"/>
  <c r="D121" i="19"/>
  <c r="L122" i="19"/>
  <c r="L121" i="19"/>
  <c r="H122" i="19"/>
  <c r="H121" i="19"/>
  <c r="K122" i="19"/>
  <c r="K121" i="19"/>
  <c r="W121" i="19"/>
  <c r="W122" i="19"/>
  <c r="J122" i="19"/>
  <c r="J121" i="19"/>
  <c r="V121" i="19"/>
  <c r="V122" i="19"/>
  <c r="I121" i="19"/>
  <c r="I122" i="19"/>
  <c r="F121" i="19"/>
  <c r="F122" i="19"/>
  <c r="AB121" i="19"/>
  <c r="AB122" i="19"/>
  <c r="U122" i="19"/>
  <c r="U121" i="19"/>
  <c r="AA121" i="19"/>
  <c r="AA122" i="19"/>
  <c r="E121" i="19"/>
  <c r="E122" i="19"/>
  <c r="Z121" i="19"/>
  <c r="Z122" i="19"/>
  <c r="S121" i="19"/>
  <c r="S122" i="19"/>
  <c r="Y121" i="19"/>
  <c r="Y122" i="19"/>
  <c r="T121" i="19"/>
  <c r="T122" i="19"/>
  <c r="X122" i="19"/>
  <c r="X121" i="19"/>
  <c r="R122" i="19"/>
  <c r="R121" i="19"/>
  <c r="Q121" i="19"/>
  <c r="Q122" i="19"/>
  <c r="P122" i="19"/>
  <c r="P121" i="19"/>
  <c r="N122" i="19"/>
  <c r="N121" i="19"/>
  <c r="O121" i="19"/>
  <c r="O122" i="19"/>
  <c r="AC86" i="19"/>
  <c r="AC14" i="19"/>
  <c r="AG23" i="19" s="1"/>
  <c r="AC15" i="19"/>
  <c r="AG24" i="19" s="1"/>
  <c r="AC13" i="19"/>
  <c r="AG22" i="19" s="1"/>
  <c r="AC76" i="19"/>
  <c r="AC95" i="19"/>
  <c r="I11" i="15"/>
  <c r="M11" i="15"/>
  <c r="AF19" i="13"/>
  <c r="X53" i="13"/>
  <c r="AF53" i="13" s="1"/>
  <c r="AC53" i="13" s="1"/>
  <c r="E12" i="15" s="1"/>
  <c r="E28" i="15"/>
  <c r="F29" i="15" l="1"/>
  <c r="I23" i="15" s="1"/>
  <c r="AN47" i="13"/>
  <c r="N11" i="15" s="1"/>
  <c r="J56" i="19"/>
  <c r="I56" i="19"/>
  <c r="AC19" i="13"/>
  <c r="P16" i="14"/>
  <c r="E29" i="15"/>
  <c r="E11" i="15"/>
  <c r="J11" i="15" l="1"/>
  <c r="F11" i="15" s="1"/>
  <c r="F13" i="15" s="1"/>
  <c r="F15" i="14" s="1"/>
  <c r="Q17" i="14"/>
  <c r="I18" i="15"/>
  <c r="I17" i="15"/>
  <c r="I20" i="15"/>
  <c r="I21" i="15"/>
  <c r="F32" i="15"/>
  <c r="N38" i="15" s="1"/>
  <c r="O38" i="15" s="1"/>
  <c r="I19" i="15"/>
  <c r="I22" i="15"/>
  <c r="F33" i="15"/>
  <c r="E22" i="15"/>
  <c r="H22" i="15" s="1"/>
  <c r="M126" i="19"/>
  <c r="O126" i="19"/>
  <c r="K126" i="19"/>
  <c r="D126" i="19"/>
  <c r="F126" i="19"/>
  <c r="E126" i="19"/>
  <c r="R126" i="19"/>
  <c r="P126" i="19"/>
  <c r="J126" i="19"/>
  <c r="S126" i="19"/>
  <c r="V126" i="19"/>
  <c r="U126" i="19"/>
  <c r="H126" i="19"/>
  <c r="I126" i="19"/>
  <c r="Y126" i="19"/>
  <c r="Z126" i="19"/>
  <c r="W126" i="19"/>
  <c r="AB126" i="19"/>
  <c r="T126" i="19"/>
  <c r="AA126" i="19"/>
  <c r="Q126" i="19"/>
  <c r="G126" i="19"/>
  <c r="L126" i="19"/>
  <c r="N126" i="19"/>
  <c r="X126" i="19"/>
  <c r="AC26" i="13"/>
  <c r="E10" i="15" s="1"/>
  <c r="E13" i="15" s="1"/>
  <c r="E15" i="14" s="1"/>
  <c r="H56" i="19"/>
  <c r="H29" i="19" s="1"/>
  <c r="H40" i="19" s="1"/>
  <c r="M58" i="19"/>
  <c r="M31" i="19" s="1"/>
  <c r="M42" i="19" s="1"/>
  <c r="W57" i="19"/>
  <c r="W30" i="19" s="1"/>
  <c r="W41" i="19" s="1"/>
  <c r="V56" i="19"/>
  <c r="K56" i="19"/>
  <c r="K29" i="19" s="1"/>
  <c r="S56" i="19"/>
  <c r="P60" i="19"/>
  <c r="P33" i="19" s="1"/>
  <c r="P44" i="19" s="1"/>
  <c r="U56" i="19"/>
  <c r="V59" i="19"/>
  <c r="V32" i="19" s="1"/>
  <c r="V43" i="19" s="1"/>
  <c r="N60" i="19"/>
  <c r="N33" i="19" s="1"/>
  <c r="N44" i="19" s="1"/>
  <c r="G60" i="19"/>
  <c r="G33" i="19" s="1"/>
  <c r="G44" i="19" s="1"/>
  <c r="K61" i="19"/>
  <c r="K34" i="19" s="1"/>
  <c r="K45" i="19" s="1"/>
  <c r="D58" i="19"/>
  <c r="R56" i="19"/>
  <c r="M60" i="19"/>
  <c r="M33" i="19" s="1"/>
  <c r="M44" i="19" s="1"/>
  <c r="L57" i="19"/>
  <c r="L30" i="19" s="1"/>
  <c r="L41" i="19" s="1"/>
  <c r="L60" i="19"/>
  <c r="L33" i="19" s="1"/>
  <c r="L44" i="19" s="1"/>
  <c r="V61" i="19"/>
  <c r="V34" i="19" s="1"/>
  <c r="V45" i="19" s="1"/>
  <c r="J58" i="19"/>
  <c r="J31" i="19" s="1"/>
  <c r="J42" i="19" s="1"/>
  <c r="Q61" i="19"/>
  <c r="Q34" i="19" s="1"/>
  <c r="Q45" i="19" s="1"/>
  <c r="P59" i="19"/>
  <c r="P32" i="19" s="1"/>
  <c r="P43" i="19" s="1"/>
  <c r="F57" i="19"/>
  <c r="F30" i="19" s="1"/>
  <c r="F41" i="19" s="1"/>
  <c r="E59" i="19"/>
  <c r="E32" i="19" s="1"/>
  <c r="E43" i="19" s="1"/>
  <c r="W61" i="19"/>
  <c r="W34" i="19" s="1"/>
  <c r="W45" i="19" s="1"/>
  <c r="T61" i="19"/>
  <c r="T34" i="19" s="1"/>
  <c r="T45" i="19" s="1"/>
  <c r="W58" i="19"/>
  <c r="W31" i="19" s="1"/>
  <c r="W42" i="19" s="1"/>
  <c r="Q59" i="19"/>
  <c r="Q32" i="19" s="1"/>
  <c r="Q43" i="19" s="1"/>
  <c r="F60" i="19"/>
  <c r="F33" i="19" s="1"/>
  <c r="F44" i="19" s="1"/>
  <c r="D56" i="19"/>
  <c r="G61" i="19"/>
  <c r="G34" i="19" s="1"/>
  <c r="G45" i="19" s="1"/>
  <c r="S57" i="19"/>
  <c r="S30" i="19" s="1"/>
  <c r="S41" i="19" s="1"/>
  <c r="V60" i="19"/>
  <c r="V33" i="19" s="1"/>
  <c r="V44" i="19" s="1"/>
  <c r="L58" i="19"/>
  <c r="L31" i="19" s="1"/>
  <c r="L42" i="19" s="1"/>
  <c r="T60" i="19"/>
  <c r="T33" i="19" s="1"/>
  <c r="T44" i="19" s="1"/>
  <c r="N61" i="19"/>
  <c r="N34" i="19" s="1"/>
  <c r="N45" i="19" s="1"/>
  <c r="R57" i="19"/>
  <c r="R30" i="19" s="1"/>
  <c r="R41" i="19" s="1"/>
  <c r="S58" i="19"/>
  <c r="S31" i="19" s="1"/>
  <c r="S42" i="19" s="1"/>
  <c r="E57" i="19"/>
  <c r="E30" i="19" s="1"/>
  <c r="E41" i="19" s="1"/>
  <c r="J61" i="19"/>
  <c r="J34" i="19" s="1"/>
  <c r="J45" i="19" s="1"/>
  <c r="J60" i="19"/>
  <c r="J33" i="19" s="1"/>
  <c r="J44" i="19" s="1"/>
  <c r="O58" i="19"/>
  <c r="O31" i="19" s="1"/>
  <c r="O42" i="19" s="1"/>
  <c r="E60" i="19"/>
  <c r="E33" i="19" s="1"/>
  <c r="E44" i="19" s="1"/>
  <c r="D59" i="19"/>
  <c r="E61" i="19"/>
  <c r="E34" i="19" s="1"/>
  <c r="E45" i="19" s="1"/>
  <c r="M59" i="19"/>
  <c r="M32" i="19" s="1"/>
  <c r="M43" i="19" s="1"/>
  <c r="V57" i="19"/>
  <c r="V30" i="19" s="1"/>
  <c r="V41" i="19" s="1"/>
  <c r="Q60" i="19"/>
  <c r="Q33" i="19" s="1"/>
  <c r="Q44" i="19" s="1"/>
  <c r="S60" i="19"/>
  <c r="S33" i="19" s="1"/>
  <c r="S44" i="19" s="1"/>
  <c r="K59" i="19"/>
  <c r="K32" i="19" s="1"/>
  <c r="K43" i="19" s="1"/>
  <c r="R58" i="19"/>
  <c r="R31" i="19" s="1"/>
  <c r="R42" i="19" s="1"/>
  <c r="J59" i="19"/>
  <c r="J32" i="19" s="1"/>
  <c r="J43" i="19" s="1"/>
  <c r="I58" i="19"/>
  <c r="I31" i="19" s="1"/>
  <c r="I42" i="19" s="1"/>
  <c r="N59" i="19"/>
  <c r="N32" i="19" s="1"/>
  <c r="N43" i="19" s="1"/>
  <c r="O61" i="19"/>
  <c r="O34" i="19" s="1"/>
  <c r="O45" i="19" s="1"/>
  <c r="Q56" i="19"/>
  <c r="D57" i="19"/>
  <c r="I61" i="19"/>
  <c r="I34" i="19" s="1"/>
  <c r="I45" i="19" s="1"/>
  <c r="M56" i="19"/>
  <c r="U60" i="19"/>
  <c r="U33" i="19" s="1"/>
  <c r="U44" i="19" s="1"/>
  <c r="Q57" i="19"/>
  <c r="Q30" i="19" s="1"/>
  <c r="Q41" i="19" s="1"/>
  <c r="W59" i="19"/>
  <c r="W32" i="19" s="1"/>
  <c r="W43" i="19" s="1"/>
  <c r="T56" i="19"/>
  <c r="O56" i="19"/>
  <c r="T59" i="19"/>
  <c r="T32" i="19" s="1"/>
  <c r="T43" i="19" s="1"/>
  <c r="D60" i="19"/>
  <c r="H58" i="19"/>
  <c r="H31" i="19" s="1"/>
  <c r="H42" i="19" s="1"/>
  <c r="W60" i="19"/>
  <c r="W33" i="19" s="1"/>
  <c r="W44" i="19" s="1"/>
  <c r="J57" i="19"/>
  <c r="J30" i="19" s="1"/>
  <c r="J41" i="19" s="1"/>
  <c r="N56" i="19"/>
  <c r="U58" i="19"/>
  <c r="U31" i="19" s="1"/>
  <c r="U42" i="19" s="1"/>
  <c r="O57" i="19"/>
  <c r="O30" i="19" s="1"/>
  <c r="O41" i="19" s="1"/>
  <c r="I59" i="19"/>
  <c r="I32" i="19" s="1"/>
  <c r="I43" i="19" s="1"/>
  <c r="H61" i="19"/>
  <c r="H34" i="19" s="1"/>
  <c r="H45" i="19" s="1"/>
  <c r="U57" i="19"/>
  <c r="U30" i="19" s="1"/>
  <c r="U41" i="19" s="1"/>
  <c r="P57" i="19"/>
  <c r="P30" i="19" s="1"/>
  <c r="P41" i="19" s="1"/>
  <c r="W56" i="19"/>
  <c r="H59" i="19"/>
  <c r="H32" i="19" s="1"/>
  <c r="H43" i="19" s="1"/>
  <c r="G58" i="19"/>
  <c r="G31" i="19" s="1"/>
  <c r="G42" i="19" s="1"/>
  <c r="S59" i="19"/>
  <c r="S32" i="19" s="1"/>
  <c r="S43" i="19" s="1"/>
  <c r="Q58" i="19"/>
  <c r="Q31" i="19" s="1"/>
  <c r="Q42" i="19" s="1"/>
  <c r="L59" i="19"/>
  <c r="L32" i="19" s="1"/>
  <c r="L43" i="19" s="1"/>
  <c r="G56" i="19"/>
  <c r="F61" i="19"/>
  <c r="F34" i="19" s="1"/>
  <c r="F45" i="19" s="1"/>
  <c r="M57" i="19"/>
  <c r="M30" i="19" s="1"/>
  <c r="M41" i="19" s="1"/>
  <c r="K57" i="19"/>
  <c r="K30" i="19" s="1"/>
  <c r="K41" i="19" s="1"/>
  <c r="R59" i="19"/>
  <c r="R32" i="19" s="1"/>
  <c r="R43" i="19" s="1"/>
  <c r="D61" i="19"/>
  <c r="G59" i="19"/>
  <c r="G32" i="19" s="1"/>
  <c r="G43" i="19" s="1"/>
  <c r="K60" i="19"/>
  <c r="K33" i="19" s="1"/>
  <c r="K44" i="19" s="1"/>
  <c r="U59" i="19"/>
  <c r="U32" i="19" s="1"/>
  <c r="U43" i="19" s="1"/>
  <c r="I60" i="19"/>
  <c r="I33" i="19" s="1"/>
  <c r="I44" i="19" s="1"/>
  <c r="F56" i="19"/>
  <c r="E58" i="19"/>
  <c r="E31" i="19" s="1"/>
  <c r="E42" i="19" s="1"/>
  <c r="K58" i="19"/>
  <c r="K31" i="19" s="1"/>
  <c r="K42" i="19" s="1"/>
  <c r="T57" i="19"/>
  <c r="T30" i="19" s="1"/>
  <c r="T41" i="19" s="1"/>
  <c r="L56" i="19"/>
  <c r="O60" i="19"/>
  <c r="O33" i="19" s="1"/>
  <c r="O44" i="19" s="1"/>
  <c r="F58" i="19"/>
  <c r="F31" i="19" s="1"/>
  <c r="F42" i="19" s="1"/>
  <c r="M61" i="19"/>
  <c r="M34" i="19" s="1"/>
  <c r="M45" i="19" s="1"/>
  <c r="H57" i="19"/>
  <c r="H30" i="19" s="1"/>
  <c r="H41" i="19" s="1"/>
  <c r="L61" i="19"/>
  <c r="L34" i="19" s="1"/>
  <c r="L45" i="19" s="1"/>
  <c r="V58" i="19"/>
  <c r="V31" i="19" s="1"/>
  <c r="V42" i="19" s="1"/>
  <c r="N58" i="19"/>
  <c r="N31" i="19" s="1"/>
  <c r="N42" i="19" s="1"/>
  <c r="S61" i="19"/>
  <c r="S34" i="19" s="1"/>
  <c r="S45" i="19" s="1"/>
  <c r="N57" i="19"/>
  <c r="N30" i="19" s="1"/>
  <c r="N41" i="19" s="1"/>
  <c r="O59" i="19"/>
  <c r="O32" i="19" s="1"/>
  <c r="O43" i="19" s="1"/>
  <c r="R60" i="19"/>
  <c r="R33" i="19" s="1"/>
  <c r="R44" i="19" s="1"/>
  <c r="P56" i="19"/>
  <c r="P58" i="19"/>
  <c r="P31" i="19" s="1"/>
  <c r="P42" i="19" s="1"/>
  <c r="H60" i="19"/>
  <c r="H33" i="19" s="1"/>
  <c r="H44" i="19" s="1"/>
  <c r="F59" i="19"/>
  <c r="F32" i="19" s="1"/>
  <c r="F43" i="19" s="1"/>
  <c r="T58" i="19"/>
  <c r="T31" i="19" s="1"/>
  <c r="T42" i="19" s="1"/>
  <c r="R61" i="19"/>
  <c r="R34" i="19" s="1"/>
  <c r="R45" i="19" s="1"/>
  <c r="P61" i="19"/>
  <c r="P34" i="19" s="1"/>
  <c r="P45" i="19" s="1"/>
  <c r="G57" i="19"/>
  <c r="G30" i="19" s="1"/>
  <c r="G41" i="19" s="1"/>
  <c r="E56" i="19"/>
  <c r="I57" i="19"/>
  <c r="I30" i="19" s="1"/>
  <c r="I41" i="19" s="1"/>
  <c r="U61" i="19"/>
  <c r="U34" i="19" s="1"/>
  <c r="U45" i="19" s="1"/>
  <c r="E32" i="15"/>
  <c r="I38" i="15" s="1"/>
  <c r="H23" i="15"/>
  <c r="H19" i="15"/>
  <c r="H20" i="15"/>
  <c r="P17" i="14"/>
  <c r="H18" i="15"/>
  <c r="H17" i="15"/>
  <c r="H21" i="15"/>
  <c r="J38" i="15" l="1"/>
  <c r="E38" i="15" s="1"/>
  <c r="D38" i="15"/>
  <c r="AA15" i="14"/>
  <c r="O37" i="15" s="1"/>
  <c r="O40" i="15" s="1"/>
  <c r="N39" i="15"/>
  <c r="AA16" i="14"/>
  <c r="Q18" i="14"/>
  <c r="P37" i="15" s="1"/>
  <c r="E33" i="15"/>
  <c r="Y128" i="19"/>
  <c r="Y135" i="19" s="1"/>
  <c r="Y129" i="19"/>
  <c r="Y134" i="19" s="1"/>
  <c r="I128" i="19"/>
  <c r="I135" i="19" s="1"/>
  <c r="I129" i="19"/>
  <c r="I134" i="19" s="1"/>
  <c r="H128" i="19"/>
  <c r="H135" i="19" s="1"/>
  <c r="H129" i="19"/>
  <c r="H134" i="19" s="1"/>
  <c r="U128" i="19"/>
  <c r="U135" i="19" s="1"/>
  <c r="U129" i="19"/>
  <c r="U134" i="19" s="1"/>
  <c r="V129" i="19"/>
  <c r="V134" i="19" s="1"/>
  <c r="V128" i="19"/>
  <c r="V135" i="19" s="1"/>
  <c r="S128" i="19"/>
  <c r="S135" i="19" s="1"/>
  <c r="S129" i="19"/>
  <c r="S134" i="19" s="1"/>
  <c r="X129" i="19"/>
  <c r="X134" i="19" s="1"/>
  <c r="X128" i="19"/>
  <c r="X135" i="19" s="1"/>
  <c r="J129" i="19"/>
  <c r="J134" i="19" s="1"/>
  <c r="J128" i="19"/>
  <c r="J135" i="19" s="1"/>
  <c r="N128" i="19"/>
  <c r="N135" i="19" s="1"/>
  <c r="N129" i="19"/>
  <c r="N134" i="19" s="1"/>
  <c r="P128" i="19"/>
  <c r="P135" i="19" s="1"/>
  <c r="P129" i="19"/>
  <c r="P134" i="19" s="1"/>
  <c r="L129" i="19"/>
  <c r="L134" i="19" s="1"/>
  <c r="L128" i="19"/>
  <c r="L135" i="19" s="1"/>
  <c r="R128" i="19"/>
  <c r="R135" i="19" s="1"/>
  <c r="R129" i="19"/>
  <c r="R134" i="19" s="1"/>
  <c r="G128" i="19"/>
  <c r="G135" i="19" s="1"/>
  <c r="G129" i="19"/>
  <c r="G134" i="19" s="1"/>
  <c r="E129" i="19"/>
  <c r="E134" i="19" s="1"/>
  <c r="E128" i="19"/>
  <c r="E135" i="19" s="1"/>
  <c r="Q128" i="19"/>
  <c r="Q135" i="19" s="1"/>
  <c r="Q129" i="19"/>
  <c r="Q134" i="19" s="1"/>
  <c r="F129" i="19"/>
  <c r="F134" i="19" s="1"/>
  <c r="F128" i="19"/>
  <c r="F135" i="19" s="1"/>
  <c r="AA129" i="19"/>
  <c r="AA134" i="19" s="1"/>
  <c r="AA128" i="19"/>
  <c r="AA135" i="19" s="1"/>
  <c r="D128" i="19"/>
  <c r="D135" i="19" s="1"/>
  <c r="D129" i="19"/>
  <c r="D134" i="19" s="1"/>
  <c r="T128" i="19"/>
  <c r="T135" i="19" s="1"/>
  <c r="T129" i="19"/>
  <c r="T134" i="19" s="1"/>
  <c r="K128" i="19"/>
  <c r="K135" i="19" s="1"/>
  <c r="K129" i="19"/>
  <c r="K134" i="19" s="1"/>
  <c r="AB128" i="19"/>
  <c r="AB135" i="19" s="1"/>
  <c r="AB129" i="19"/>
  <c r="AB134" i="19" s="1"/>
  <c r="O128" i="19"/>
  <c r="O135" i="19" s="1"/>
  <c r="O129" i="19"/>
  <c r="O134" i="19" s="1"/>
  <c r="W129" i="19"/>
  <c r="W134" i="19" s="1"/>
  <c r="W128" i="19"/>
  <c r="W135" i="19" s="1"/>
  <c r="M128" i="19"/>
  <c r="M135" i="19" s="1"/>
  <c r="M129" i="19"/>
  <c r="M134" i="19" s="1"/>
  <c r="Z129" i="19"/>
  <c r="Z134" i="19" s="1"/>
  <c r="Z128" i="19"/>
  <c r="Z135" i="19" s="1"/>
  <c r="J48" i="19"/>
  <c r="K36" i="19"/>
  <c r="K40" i="19"/>
  <c r="V37" i="19"/>
  <c r="Q37" i="19"/>
  <c r="U37" i="19"/>
  <c r="S37" i="19"/>
  <c r="P37" i="19"/>
  <c r="O37" i="19"/>
  <c r="N37" i="19"/>
  <c r="E37" i="19"/>
  <c r="F37" i="19"/>
  <c r="T37" i="19"/>
  <c r="H37" i="19"/>
  <c r="J37" i="19"/>
  <c r="R37" i="19"/>
  <c r="W37" i="19"/>
  <c r="K37" i="19"/>
  <c r="G37" i="19"/>
  <c r="H47" i="19"/>
  <c r="H36" i="19"/>
  <c r="I37" i="19"/>
  <c r="M37" i="19"/>
  <c r="L37" i="19"/>
  <c r="T62" i="19"/>
  <c r="T29" i="19"/>
  <c r="AC59" i="19"/>
  <c r="D32" i="19"/>
  <c r="D43" i="19" s="1"/>
  <c r="AC56" i="19"/>
  <c r="D62" i="19"/>
  <c r="D29" i="19"/>
  <c r="J62" i="19"/>
  <c r="J29" i="19"/>
  <c r="M62" i="19"/>
  <c r="M29" i="19"/>
  <c r="R62" i="19"/>
  <c r="R29" i="19"/>
  <c r="AC58" i="19"/>
  <c r="D31" i="19"/>
  <c r="D42" i="19" s="1"/>
  <c r="AC57" i="19"/>
  <c r="D30" i="19"/>
  <c r="D41" i="19" s="1"/>
  <c r="AC61" i="19"/>
  <c r="D34" i="19"/>
  <c r="D45" i="19" s="1"/>
  <c r="Q62" i="19"/>
  <c r="Q29" i="19"/>
  <c r="F62" i="19"/>
  <c r="F29" i="19"/>
  <c r="W62" i="19"/>
  <c r="W29" i="19"/>
  <c r="N62" i="19"/>
  <c r="N29" i="19"/>
  <c r="U62" i="19"/>
  <c r="U29" i="19"/>
  <c r="H62" i="19"/>
  <c r="G62" i="19"/>
  <c r="G29" i="19"/>
  <c r="S62" i="19"/>
  <c r="S29" i="19"/>
  <c r="E62" i="19"/>
  <c r="E29" i="19"/>
  <c r="AC60" i="19"/>
  <c r="D33" i="19"/>
  <c r="D44" i="19" s="1"/>
  <c r="K62" i="19"/>
  <c r="P62" i="19"/>
  <c r="P29" i="19"/>
  <c r="V62" i="19"/>
  <c r="V29" i="19"/>
  <c r="I62" i="19"/>
  <c r="I29" i="19"/>
  <c r="L62" i="19"/>
  <c r="L29" i="19"/>
  <c r="O62" i="19"/>
  <c r="O29" i="19"/>
  <c r="Z15" i="14" l="1"/>
  <c r="J37" i="15" s="1"/>
  <c r="I39" i="15"/>
  <c r="D39" i="15" s="1"/>
  <c r="P18" i="14"/>
  <c r="K37" i="15" s="1"/>
  <c r="K40" i="15" s="1"/>
  <c r="F40" i="15" s="1"/>
  <c r="P40" i="15"/>
  <c r="Z16" i="14"/>
  <c r="E39" i="15"/>
  <c r="D36" i="19"/>
  <c r="D40" i="19"/>
  <c r="D47" i="19" s="1"/>
  <c r="E36" i="19"/>
  <c r="E40" i="19"/>
  <c r="E47" i="19" s="1"/>
  <c r="F36" i="19"/>
  <c r="F40" i="19"/>
  <c r="F47" i="19" s="1"/>
  <c r="G36" i="19"/>
  <c r="G40" i="19"/>
  <c r="G47" i="19" s="1"/>
  <c r="P36" i="19"/>
  <c r="P40" i="19"/>
  <c r="P47" i="19" s="1"/>
  <c r="J36" i="19"/>
  <c r="J40" i="19"/>
  <c r="J47" i="19" s="1"/>
  <c r="Q36" i="19"/>
  <c r="Q40" i="19"/>
  <c r="Q47" i="19" s="1"/>
  <c r="L36" i="19"/>
  <c r="L40" i="19"/>
  <c r="L47" i="19" s="1"/>
  <c r="O36" i="19"/>
  <c r="O40" i="19"/>
  <c r="O47" i="19" s="1"/>
  <c r="W36" i="19"/>
  <c r="W40" i="19"/>
  <c r="W47" i="19" s="1"/>
  <c r="U36" i="19"/>
  <c r="U40" i="19"/>
  <c r="U47" i="19" s="1"/>
  <c r="R36" i="19"/>
  <c r="R40" i="19"/>
  <c r="R47" i="19" s="1"/>
  <c r="T36" i="19"/>
  <c r="T40" i="19"/>
  <c r="T47" i="19" s="1"/>
  <c r="I36" i="19"/>
  <c r="I40" i="19"/>
  <c r="I47" i="19" s="1"/>
  <c r="S36" i="19"/>
  <c r="S40" i="19"/>
  <c r="S47" i="19" s="1"/>
  <c r="V36" i="19"/>
  <c r="V40" i="19"/>
  <c r="V47" i="19" s="1"/>
  <c r="N36" i="19"/>
  <c r="N40" i="19"/>
  <c r="N47" i="19" s="1"/>
  <c r="M36" i="19"/>
  <c r="M40" i="19"/>
  <c r="M47" i="19" s="1"/>
  <c r="D37" i="19"/>
  <c r="AC37" i="19" s="1"/>
  <c r="AG27" i="19" s="1"/>
  <c r="AG30" i="19" s="1"/>
  <c r="K48" i="19"/>
  <c r="G48" i="19"/>
  <c r="E48" i="19"/>
  <c r="N48" i="19"/>
  <c r="W48" i="19"/>
  <c r="O48" i="19"/>
  <c r="R48" i="19"/>
  <c r="P48" i="19"/>
  <c r="L48" i="19"/>
  <c r="S48" i="19"/>
  <c r="H48" i="19"/>
  <c r="U48" i="19"/>
  <c r="M48" i="19"/>
  <c r="I48" i="19"/>
  <c r="T48" i="19"/>
  <c r="Q48" i="19"/>
  <c r="F48" i="19"/>
  <c r="V48" i="19"/>
  <c r="AC29" i="19"/>
  <c r="D35" i="19"/>
  <c r="S35" i="19"/>
  <c r="AC62" i="19"/>
  <c r="AC30" i="19"/>
  <c r="G35" i="19"/>
  <c r="P35" i="19"/>
  <c r="W35" i="19"/>
  <c r="AC32" i="19"/>
  <c r="H35" i="19"/>
  <c r="O35" i="19"/>
  <c r="AC31" i="19"/>
  <c r="AC42" i="19"/>
  <c r="K35" i="19"/>
  <c r="K47" i="19"/>
  <c r="I35" i="19"/>
  <c r="F35" i="19"/>
  <c r="AC33" i="19"/>
  <c r="AC44" i="19"/>
  <c r="Q35" i="19"/>
  <c r="N35" i="19"/>
  <c r="U35" i="19"/>
  <c r="R35" i="19"/>
  <c r="AC45" i="19"/>
  <c r="AC34" i="19"/>
  <c r="M35" i="19"/>
  <c r="J35" i="19"/>
  <c r="V35" i="19"/>
  <c r="T35" i="19"/>
  <c r="L35" i="19"/>
  <c r="E35" i="19"/>
  <c r="F38" i="15"/>
  <c r="F39" i="15"/>
  <c r="F37" i="15" l="1"/>
  <c r="E37" i="15"/>
  <c r="J40" i="15"/>
  <c r="E40" i="15" s="1"/>
  <c r="AC41" i="19"/>
  <c r="D48" i="19"/>
  <c r="AC48" i="19" s="1"/>
  <c r="P46" i="19"/>
  <c r="G46" i="19"/>
  <c r="J46" i="19"/>
  <c r="Q46" i="19"/>
  <c r="M46" i="19"/>
  <c r="V46" i="19"/>
  <c r="N46" i="19"/>
  <c r="E46" i="19"/>
  <c r="H46" i="19"/>
  <c r="O46" i="19"/>
  <c r="F46" i="19"/>
  <c r="S46" i="19"/>
  <c r="L46" i="19"/>
  <c r="AC43" i="19"/>
  <c r="AC35" i="19"/>
  <c r="AG25" i="19" s="1"/>
  <c r="I46" i="19"/>
  <c r="R46" i="19"/>
  <c r="AC36" i="19"/>
  <c r="T46" i="19"/>
  <c r="U46" i="19"/>
  <c r="W46" i="19"/>
  <c r="D46" i="19"/>
  <c r="AC40" i="19"/>
  <c r="K46" i="19"/>
  <c r="AG26" i="19" l="1"/>
  <c r="AG29" i="19" s="1"/>
  <c r="AC47" i="19"/>
  <c r="AC46" i="19"/>
  <c r="AG28" i="19" s="1"/>
</calcChain>
</file>

<file path=xl/sharedStrings.xml><?xml version="1.0" encoding="utf-8"?>
<sst xmlns="http://schemas.openxmlformats.org/spreadsheetml/2006/main" count="1490" uniqueCount="647">
  <si>
    <t>Erdgas</t>
  </si>
  <si>
    <t>Wasserstoff</t>
  </si>
  <si>
    <t>Strom</t>
  </si>
  <si>
    <t>€/tCO2</t>
  </si>
  <si>
    <t>kostenfreie Zuteilung</t>
  </si>
  <si>
    <t>Wirtschaftlichkeitsparameter</t>
  </si>
  <si>
    <t>Zinssatz</t>
  </si>
  <si>
    <t>€/EUA</t>
  </si>
  <si>
    <t>€/MWh</t>
  </si>
  <si>
    <t>Sauerstoff</t>
  </si>
  <si>
    <t>Wasserstoff grün</t>
  </si>
  <si>
    <t>ct/kWh</t>
  </si>
  <si>
    <t>€/t</t>
  </si>
  <si>
    <t>40-80</t>
  </si>
  <si>
    <t>a</t>
  </si>
  <si>
    <t>%</t>
  </si>
  <si>
    <t>Vogl et al. (2018)</t>
  </si>
  <si>
    <t>Schneider et al (2019)</t>
  </si>
  <si>
    <t>Prognos (2020)</t>
  </si>
  <si>
    <t>Kommentar</t>
  </si>
  <si>
    <t>Bio-Methan</t>
  </si>
  <si>
    <t>60-70</t>
  </si>
  <si>
    <t>50-60</t>
  </si>
  <si>
    <t>Konventionell (Drehrohrofen)</t>
  </si>
  <si>
    <t>Brennstoffe</t>
  </si>
  <si>
    <t>Steinkohle</t>
  </si>
  <si>
    <t>Braunkohle</t>
  </si>
  <si>
    <t>Petrolkoks</t>
  </si>
  <si>
    <t>Heizöl</t>
  </si>
  <si>
    <t>Festlegung</t>
  </si>
  <si>
    <t>CO2 aus Brennstoffen folgt aus Brennstoffmix</t>
  </si>
  <si>
    <t>Wartung / Instandhaltung (inkl. Arbeitskosten)</t>
  </si>
  <si>
    <t xml:space="preserve">Kosten </t>
  </si>
  <si>
    <t>Biomasse (Holzhackschnitzel)</t>
  </si>
  <si>
    <t>Alternativbrennstoffe (abfallbasiert)</t>
  </si>
  <si>
    <t>Biogas</t>
  </si>
  <si>
    <t>Biomethan</t>
  </si>
  <si>
    <t>Oxyfuel (Drehrohrofen mit Oxyfuel-Abscheidung)</t>
  </si>
  <si>
    <t xml:space="preserve">Identisch mit Referenzfall </t>
  </si>
  <si>
    <t>Rohmehl</t>
  </si>
  <si>
    <t>CEMCAP D4.6</t>
  </si>
  <si>
    <t>Drehrohrofen, Rohmühle, Peripheriegeräte</t>
  </si>
  <si>
    <t>Was muss der nachgelagerten CCS-Kette pro t CO2 bezahlt werden, damit diese das CO2 abnimmt.</t>
  </si>
  <si>
    <t>CO2-Abtransport-Gebühr</t>
  </si>
  <si>
    <t>Pipeline-Transport (110 bar, 30 °C)</t>
  </si>
  <si>
    <t>Elektrifiziertes LEILAC (Drehrohrofen mit elektrifiziertem LEILAC-Kalzinator)</t>
  </si>
  <si>
    <t>Technologiespezifischer Stoffbedarf</t>
  </si>
  <si>
    <t>Strombedarf gesamt</t>
  </si>
  <si>
    <t>Fossile Restemissionen</t>
  </si>
  <si>
    <t xml:space="preserve">Steinkohle </t>
  </si>
  <si>
    <t>Alternativbrennstoffe</t>
  </si>
  <si>
    <t>€/GJ LHV</t>
  </si>
  <si>
    <t>Gesamter Brennstoffeinsatz</t>
  </si>
  <si>
    <t>0,25 - 0,3</t>
  </si>
  <si>
    <t>Brennstoffmix nur beispielhaft</t>
  </si>
  <si>
    <t>Abscheiderate bzgl. prozessbeedingter Emissionen</t>
  </si>
  <si>
    <t>LEILAC scheidet nur prozessbedingte Emissionen am Kalzinator ab. Ca. 90-95% der prozessbedingten Emissionen entstehen am Kalzinator. Hiervon werden (per Annahme) 95% abgeschieden.</t>
  </si>
  <si>
    <t>IEAGHG 2013</t>
  </si>
  <si>
    <t>Capex (vollständig; green field)</t>
  </si>
  <si>
    <t>4,3 - 10,9</t>
  </si>
  <si>
    <t>Rubin et al. (2015)</t>
  </si>
  <si>
    <t>ZEP (2011)</t>
  </si>
  <si>
    <t>2-14</t>
  </si>
  <si>
    <t xml:space="preserve">Basierend auf Referenzfall; weniger Strombedarf für Aufbereitung Alternativbrennstoffe -&gt; abzgl. 3 kWh/t Klinker (ECRA 2017) </t>
  </si>
  <si>
    <t>als Vergleich bei 80 kg Kohle/t Klinker und 31 kg Petrolkoks/t Klinker</t>
  </si>
  <si>
    <t>220-290</t>
  </si>
  <si>
    <t>Generierung aus ORC</t>
  </si>
  <si>
    <t>8 -10</t>
  </si>
  <si>
    <t>kWh/t Klinker</t>
  </si>
  <si>
    <t>9-12</t>
  </si>
  <si>
    <t xml:space="preserve">FNR (2012) </t>
  </si>
  <si>
    <t>Moderner Drehrohrofen mit hohem Anteil Alternativbrennstoffe</t>
  </si>
  <si>
    <t>$/t</t>
  </si>
  <si>
    <t xml:space="preserve">ORC bei Referenzwerk prinzipiell möglich, aber selten umgesetzt. Abwärme wird primär für Trocknung von Roh- und Brennstoffen verwendet. </t>
  </si>
  <si>
    <t>0,237 - 0,277</t>
  </si>
  <si>
    <t>Sauerstoff wird als extra Kostenfaktor berechnet</t>
  </si>
  <si>
    <t>1/3 des Brennstoffeinsatzes des Referenzwerks (2/3 am Kalzinator -&gt; ersetzt durch strombasierte Wärme)</t>
  </si>
  <si>
    <t>CO2-Reinigungs- und Kompressionsanlage</t>
  </si>
  <si>
    <t>€/100 l</t>
  </si>
  <si>
    <t>Heizwert 9,8 kWh / liter</t>
  </si>
  <si>
    <t>Preis</t>
  </si>
  <si>
    <t>spezifischer Bedarf</t>
  </si>
  <si>
    <t>Kosten</t>
  </si>
  <si>
    <t>OPEX</t>
  </si>
  <si>
    <t>Default</t>
  </si>
  <si>
    <t>Einheit</t>
  </si>
  <si>
    <t>Handeingabe</t>
  </si>
  <si>
    <t>Rechenwert</t>
  </si>
  <si>
    <t>Summe OPEX</t>
  </si>
  <si>
    <t>CAPEX</t>
  </si>
  <si>
    <t>€/t Kap.</t>
  </si>
  <si>
    <t>Summe CAPEX</t>
  </si>
  <si>
    <t>Referenz</t>
  </si>
  <si>
    <t>t/t Klinker</t>
  </si>
  <si>
    <t>€/t Klinker</t>
  </si>
  <si>
    <t>MWh/t Klinker</t>
  </si>
  <si>
    <t>Afa Tabelle</t>
  </si>
  <si>
    <t>EU-ETS</t>
  </si>
  <si>
    <t>2013-2020</t>
  </si>
  <si>
    <t>2026-2030</t>
  </si>
  <si>
    <t>2021-2025</t>
  </si>
  <si>
    <t>Rate Update</t>
  </si>
  <si>
    <t>Oxyfuel</t>
  </si>
  <si>
    <t>E-LEILAC</t>
  </si>
  <si>
    <t>Kostenblöcke produktbezogen</t>
  </si>
  <si>
    <t>Summe</t>
  </si>
  <si>
    <t>Auswahl Diagramm</t>
  </si>
  <si>
    <t>CAPEX, OPEX</t>
  </si>
  <si>
    <t>Preis Default</t>
  </si>
  <si>
    <t>Parameter</t>
  </si>
  <si>
    <t>abweichend</t>
  </si>
  <si>
    <t>nur OPEX</t>
  </si>
  <si>
    <t>allg. Betriebskosten</t>
  </si>
  <si>
    <t>Zuteilung</t>
  </si>
  <si>
    <t>€/tKlinker</t>
  </si>
  <si>
    <t>[€/t Klinker]</t>
  </si>
  <si>
    <t>Brennstoffmix indiziert</t>
  </si>
  <si>
    <t>Annahme CAPEX</t>
  </si>
  <si>
    <t>European Cement Research Academy (2017). CSI/ECRA- Technology Papers 2017. Development of State of the Art Techniques in Cement Manufacturing: Trying to Look Ahead. Düsseldorf.</t>
  </si>
  <si>
    <t>https://ecra-online.org/fileadmin/redaktion/files/pdf/CSI_ECRA_Technology_Papers_2017.pdf</t>
  </si>
  <si>
    <t>https://ecra-online.org/fileadmin/redaktion/files/pdf/ECRA_Technical_Report_CCS_Phase_III.pdf</t>
  </si>
  <si>
    <t>https://ecra-online.org/fileadmin/redaktion/files/pdf/ECRA__Technical_Report_CCS_Phase_II.pdf</t>
  </si>
  <si>
    <t>https://www.globalccsinstitute.com/archive/hub/publications/17011/costs-co2-capture-transport-and-storage.pdf</t>
  </si>
  <si>
    <t>https://link.springer.com/referenceworkentry/10.1007%2F978-3-319-68255-6_142</t>
  </si>
  <si>
    <t>https://www.sintef.no/projectweb/cemcap/results/</t>
  </si>
  <si>
    <t>CEMCAP D4.4</t>
  </si>
  <si>
    <t>Ruppert, J., Wagener, C., Palm, S., Scheuer, W., Hoenig, V. (2020). Prozesskettenorientierte Ermittlung der Material- und Energieeffizienzpotentiale in der Zementindustrie. Abschlussbericht im Auftrag des Umweltbundesamtes.</t>
  </si>
  <si>
    <t>https://www.vdz-online.de/fileadmin/wissensportal/publikationen/forschungsergebnisse/Forschungsvorhaben_Prozesskettenorientierte_Ermittlung_der_Material-_und_Energieeffizienzpotentiale_in_der_Zementindustrie.pdf</t>
  </si>
  <si>
    <t>https://ieaghg.org/docs/General_Docs/Reports/2013-19.pdf</t>
  </si>
  <si>
    <t>https://www.cmu.edu/epp/iecm/rubin/PDF%20files/2015/Pages%20from%20The%20cost%20of%20CO2%20capture%20and%20storage.pdf</t>
  </si>
  <si>
    <t>Fischedick et al. (2014)</t>
  </si>
  <si>
    <t>ECRA (2017)</t>
  </si>
  <si>
    <t>IEAGHG (2013)</t>
  </si>
  <si>
    <t>Cemzero (2018)</t>
  </si>
  <si>
    <t>Wilhelmsson, B., Kollberg, C., Larsson, J., Eriksson, J., &amp; Eriksson, M. (2018). CemZero–A feasibility study evaluating ways to reach sustainable cement production via the use of electricity. Project report, Cementa/Vattenfall.</t>
  </si>
  <si>
    <t>https://www.agora-energiewende.de/fileadmin2/Projekte/2017/Deutsche_Braunkohlenwirtschaft/Agora_Die-deutsche-Braunkohlenwirtschaft_WEB.pdf</t>
  </si>
  <si>
    <t>Ökoinstitut (2017)</t>
  </si>
  <si>
    <t>https://www.opisnet.com/wp-content/uploads/2019/03/McCloskey-Coal-Report.pdf</t>
  </si>
  <si>
    <t>DEHSt (2020)</t>
  </si>
  <si>
    <t>99-114</t>
  </si>
  <si>
    <t>Je nach Herkunft</t>
  </si>
  <si>
    <t>UBA (2020)</t>
  </si>
  <si>
    <t>https://www.dehst.de/SharedDocs/downloads/DE/stationaere_anlagen/2021-2030/Ueberwachungsplan_Leitfaden.pdf?__blob=publicationFile&amp;v=6</t>
  </si>
  <si>
    <t>Hills et al. 2017</t>
  </si>
  <si>
    <t>Hills et al. (2017)</t>
  </si>
  <si>
    <t>Hills, T. P., Sceats, M., Rennie, D., Fennell, P. (2017). LEILAC: Low cost CO2 capture for the cement and lime industries. 13th international Conference on Greenhouse Gas Control Technologies, GHGT-13, 14-18 November 2016, Lausanne, Switzerland</t>
  </si>
  <si>
    <t>https://www.umweltbundesamt.de/en/publikationen/berichterstattung-unter-der-klimarahmenkonvention-5</t>
  </si>
  <si>
    <t>Strombedarf</t>
  </si>
  <si>
    <t>Luftzerlegung integriert?</t>
  </si>
  <si>
    <t>Abscheidung biogenes CO2</t>
  </si>
  <si>
    <t xml:space="preserve"> </t>
  </si>
  <si>
    <t>OPEX (ohne EUA-Kosten)</t>
  </si>
  <si>
    <t>Naturstrom (2021)</t>
  </si>
  <si>
    <t>https://www.naturstrom.de/privatkunden/biogas/naturstrom-biogas</t>
  </si>
  <si>
    <t>CO2</t>
  </si>
  <si>
    <t>UBA (2006)</t>
  </si>
  <si>
    <t>Entspricht Methan (Erdgas)</t>
  </si>
  <si>
    <t>Eigene Berechnung</t>
  </si>
  <si>
    <t>Emissionsfaktoren werden von Referenz übernommen</t>
  </si>
  <si>
    <t>Strombedarf CO2-Reinigung und -Kompression</t>
  </si>
  <si>
    <t>VDZ (2020)</t>
  </si>
  <si>
    <t>Entsprechend Referenz</t>
  </si>
  <si>
    <t>Smit (2021)</t>
  </si>
  <si>
    <t>Northern Lights - A European CO2 transport and storage network. Presentation at ECRA Conference on "CO2-Infrastructure", Feb 3rd 2021.</t>
  </si>
  <si>
    <t>DEHSt (2020). Leitfaden zur Erstellung von Überwachungsplänen für stationäre Anlagen - 4. Handelsperiode (2021-2030).</t>
  </si>
  <si>
    <t>Fachagentur Nachwachsende Rohstoffe e.V. (2012). Energieholz aus der Landwirtschaft.</t>
  </si>
  <si>
    <t>Ruppert et al. (2020)</t>
  </si>
  <si>
    <t>VDZ (2020). Persönliche Kommunikation.</t>
  </si>
  <si>
    <t>Abschreibungszeitraum Drehöfen</t>
  </si>
  <si>
    <t xml:space="preserve">erarbeitet durch: </t>
  </si>
  <si>
    <t>FutureCamp Climate GmbH</t>
  </si>
  <si>
    <t xml:space="preserve">und </t>
  </si>
  <si>
    <t>Wuppertal Institut für Klima, Umwelt, Energie GmbH</t>
  </si>
  <si>
    <t>im Auftrag von:</t>
  </si>
  <si>
    <t>Aschauer Str. 30</t>
  </si>
  <si>
    <t>Döppersberg 19</t>
  </si>
  <si>
    <t>Anna-Louisa-Karsch-Str. 2</t>
  </si>
  <si>
    <t>81549 München</t>
  </si>
  <si>
    <t>42103 Wuppertal</t>
  </si>
  <si>
    <t>10178 Berlin</t>
  </si>
  <si>
    <t>www.future-camp.de</t>
  </si>
  <si>
    <t>https://wupperinst.org  </t>
  </si>
  <si>
    <t>Autoren:</t>
  </si>
  <si>
    <t>Thomas Mühlpointner</t>
  </si>
  <si>
    <t xml:space="preserve">Nutzung der Methoden, Standarddaten und Ergebnisse nur mit Verweis auf die Autoren sowie </t>
  </si>
  <si>
    <t>Letzte Aktualisierung:</t>
  </si>
  <si>
    <t>Modellversion:</t>
  </si>
  <si>
    <t>Zitiervorschlag:</t>
  </si>
  <si>
    <t>Kontakt:</t>
  </si>
  <si>
    <t>Dr. Georg Holtz</t>
  </si>
  <si>
    <t>Transformationskostenrechner Klimaschutzverträge (KSV) - Sektor Zement</t>
  </si>
  <si>
    <t>Abscheiderate</t>
  </si>
  <si>
    <t>Erläuterung Handeingabe</t>
  </si>
  <si>
    <t>CO2-Minderung fossiles CO2</t>
  </si>
  <si>
    <t>Bezugsjahr</t>
  </si>
  <si>
    <t>Default Wert Rechner</t>
  </si>
  <si>
    <t>Schwankungsbreite für Sensitivitätsbetrachtungen</t>
  </si>
  <si>
    <t>Min</t>
  </si>
  <si>
    <t>Max</t>
  </si>
  <si>
    <t>Kommentar Min/Max</t>
  </si>
  <si>
    <t>gemäß IEAGHG (2013)</t>
  </si>
  <si>
    <t>Spannbreite Preiserwartung 2020 vs. 2050</t>
  </si>
  <si>
    <t>Wert ECRA als Default</t>
  </si>
  <si>
    <t>Spannbreite der verschiedenen aufgeführten Quellen</t>
  </si>
  <si>
    <t>Mittelwert Vogl/Fischedick</t>
  </si>
  <si>
    <t>inkl. Transport zum Hafen</t>
  </si>
  <si>
    <t>Schiff: 22€/t Transport (Durusut&amp;Joost) + 14€/t Speicherung (Maximum ZEP)</t>
  </si>
  <si>
    <t>bei 10€/t Kosten für Speicherung</t>
  </si>
  <si>
    <t>Mittelwert Vogl/BCG</t>
  </si>
  <si>
    <t>Beschluss 2011/278/EU und EU-Zuteilungsverordnung (EU-ZuVO) (EU) 2019/331</t>
  </si>
  <si>
    <t>EUA/t</t>
  </si>
  <si>
    <t>Quelle</t>
  </si>
  <si>
    <t>Wert IEAGHG als Default (gerundet)</t>
  </si>
  <si>
    <t>Wert Cemcap als Default</t>
  </si>
  <si>
    <t>Impressum</t>
  </si>
  <si>
    <t>Welche Annahmen wurden getroffen?</t>
  </si>
  <si>
    <t>Als Vergleich; Durchschnitt Deutschland (höherer Einsatz Alternativbrennstoffe als im EU-Durchschnitt)</t>
  </si>
  <si>
    <t>Eigene Umrechnung mit Heizwert 4,1kWh/kg</t>
  </si>
  <si>
    <t>Capex (Retrofit)</t>
  </si>
  <si>
    <t>Capex (vollständig; Greenfield)</t>
  </si>
  <si>
    <t>Generierung Strom aus Abwärme (Organic Rankine Cycle, ORC)</t>
  </si>
  <si>
    <t>Quellen (Kürzel)</t>
  </si>
  <si>
    <t>Quellen (lang)</t>
  </si>
  <si>
    <t>Diagrammtabelle</t>
  </si>
  <si>
    <t>Quellen</t>
  </si>
  <si>
    <t>Detailbetrachtung OPEX und Einzelvariablen</t>
  </si>
  <si>
    <t>Preisannahmen</t>
  </si>
  <si>
    <r>
      <rPr>
        <b/>
        <sz val="10"/>
        <color theme="1"/>
        <rFont val="Arial"/>
        <family val="2"/>
      </rPr>
      <t xml:space="preserve">Erläuterung: </t>
    </r>
    <r>
      <rPr>
        <sz val="10"/>
        <color theme="1"/>
        <rFont val="Arial"/>
        <family val="2"/>
      </rPr>
      <t>In diesem Blatt werden die zentralen Quellen zur Herleitung der Defaultwerte für Preisannahmen, Wirtschaftlichkeitsberechnungen und die Abschätzung der kostenfreien Zuteilung aufgeführt. Zusätzlich wird für besonders relevante Stoffströme die Schwankungsbreite angegeben, die für Sensitivitätsbetrachtungen herangezogen werden kann.</t>
    </r>
  </si>
  <si>
    <t>Preise der Energieträger und Stoffströme</t>
  </si>
  <si>
    <t>Anlagenspezifische Daten</t>
  </si>
  <si>
    <t>€/t Rohmehl</t>
  </si>
  <si>
    <t>Angabe</t>
  </si>
  <si>
    <t>Capex Luftzerlegungsanlage</t>
  </si>
  <si>
    <t>Brennstoffe (Produktion Zementklinker)</t>
  </si>
  <si>
    <t>Rohstoffe (Produktion Zementklinker)</t>
  </si>
  <si>
    <t>Strombedarf Luftzerlegungsanlage</t>
  </si>
  <si>
    <t>Strombedarf Drehrohrofen, Rohmühle, Peripheriegeräte</t>
  </si>
  <si>
    <t>Brennstoffeinsatz (GJ/t Klinker)</t>
  </si>
  <si>
    <t>Rechner</t>
  </si>
  <si>
    <t>Ergebnisse</t>
  </si>
  <si>
    <r>
      <rPr>
        <b/>
        <sz val="10"/>
        <color theme="1"/>
        <rFont val="Arial"/>
        <family val="2"/>
        <scheme val="minor"/>
      </rPr>
      <t>Erläuterungen:</t>
    </r>
    <r>
      <rPr>
        <sz val="10"/>
        <color theme="1"/>
        <rFont val="Arial"/>
        <family val="2"/>
        <scheme val="minor"/>
      </rPr>
      <t xml:space="preserve"> In diesem Blatt werden die zentralen Ergebnisse in verschiedenen Diagrammen visualisiert. In den blau hinterlegten Feldern können relevante Parameter für die Darstellungen angepasst werden.</t>
    </r>
  </si>
  <si>
    <t>€/GJ</t>
  </si>
  <si>
    <t>IHS Markit (2020) (FOB Preis)</t>
  </si>
  <si>
    <t>ECRA Tech Report III (2012)</t>
  </si>
  <si>
    <t>ECRA Tech Report II (2009)</t>
  </si>
  <si>
    <t>Afa Tabelle Zementsektor</t>
  </si>
  <si>
    <t>Quelle bezieht sich nur auf Beschaffung. Annahme: Gasbeschaffung macht 70% des Industriepreises aus</t>
  </si>
  <si>
    <t>Verschärfungsrate gemäß Draft EU-Kommission vom 07.12.2020</t>
  </si>
  <si>
    <t>BCG/VDEh. (2013)</t>
  </si>
  <si>
    <t>Offshore, leere Öl- und Gasfelder</t>
  </si>
  <si>
    <t>Nur Transport. Onshore pipeline, 250 km, Pipelinekapazität/Flowrate 3 Mt CO2/year (z. B. Bündelung mehrerer Zementwerke in Westfalen)</t>
  </si>
  <si>
    <t>BDEW Gaspreisanalyse</t>
  </si>
  <si>
    <t>€MWh</t>
  </si>
  <si>
    <t xml:space="preserve"> t/t Klinker</t>
  </si>
  <si>
    <t>€/t Klinkerproduktionskapazität pro Jahr</t>
  </si>
  <si>
    <t>Als Vergleich; Europäischer Durchschnitt (Clinker/Cement factor=0,737)</t>
  </si>
  <si>
    <t>Brennstoffeinsatz und Emissionsfaktoren werden von Referenz übernommen</t>
  </si>
  <si>
    <t>Eigene Berechnung basierend auf Quelle (187 kWh/t Klinker inkl. Luftzerlegung)</t>
  </si>
  <si>
    <r>
      <t xml:space="preserve">Wert IEAGHG als Default (gerundet) </t>
    </r>
    <r>
      <rPr>
        <sz val="10"/>
        <rFont val="Arial"/>
        <family val="2"/>
      </rPr>
      <t>(Greenfield mit ASU)</t>
    </r>
  </si>
  <si>
    <t>IEAGHG Wert als Default</t>
  </si>
  <si>
    <t>Umrechnung in €/GJ mittels Heizwert 16,7 MJ/kg (Eigene Berechnung für ABS-Mix). Wert für 2016</t>
  </si>
  <si>
    <t>FOB-Preis. Umrechnung mittels Heizwert 31,359 MJ / kg (AG Energiebilanzen); 1$=0,82€; 10% Aufschlag auf FOB (Schätzung)</t>
  </si>
  <si>
    <t>IHS Markit (2020)</t>
  </si>
  <si>
    <t>Wert 2030 als Default; Umgerechnet von Brennwert auf Heizwert</t>
  </si>
  <si>
    <t>neu</t>
  </si>
  <si>
    <t>Prognos et al. (2020)</t>
  </si>
  <si>
    <t>Prognos, Öko-Institut, Wuppertal-Institut (2020). Klimaneutrales Deutschland. Studie im Auftrag von Agora Energiewende, Agora Verkehrswende und Stiftung Klimaneutralität</t>
  </si>
  <si>
    <t>https://static.agora-energiewende.de/fileadmin2/Projekte/2020/2020_10_KNDE/A-EW_195_KNDE_WEB_V111.pdf</t>
  </si>
  <si>
    <t xml:space="preserve">Fischedick, M., Marzinkowski, J., Winzer, P., Weigel, M. (2014). Techno-economic evaluation of innovative steel production technologies. Journal of Cleaner Production, Vol. 84, pp. 563-580. </t>
  </si>
  <si>
    <t>https://www.sciencedirect.com/science/article/abs/pii/S095965261400540X</t>
  </si>
  <si>
    <t>Vogl, V., Åhman, M., Nilsson, L. J. (2018). Assessment of hydrogen direct reduction for fossil-free steelmaking. Journal of Cleaner Production, Vol. 203, pp. 736-745.</t>
  </si>
  <si>
    <t>https://reader.elsevier.com/reader/sd/pii/S0959652618326301?token=141CBDF6F88338E77A3D37AB4B08B4BBBBDD032E4E72E31BB7DB4EB5F3C4AC2DA5F87F2DC7E28FABE2C99C649C1A4806</t>
  </si>
  <si>
    <t>Schneider et al. (2019)</t>
  </si>
  <si>
    <t>Schneider, C., Samadi, S., Holtz, G., Kobiela, G., Lechtenböhmer, S., Witecka, W. (2019). Klimaneutrale Industrie: Ausführliche Darstellung der Schlüsseltechnologien für die Branchen Stahl, Chemie und Zement. Analyse im Auftrag von Agora Energiewende. Berlin, November 2019.</t>
  </si>
  <si>
    <t>https://epub.wupperinst.org/frontdoor/deliver/index/docId/7676/file/7676_Klimaneutrale_Industrie.pdf</t>
  </si>
  <si>
    <t>EU-Zuteilungsverordnung (EU-ZuVO) (EU) 2019/331</t>
  </si>
  <si>
    <t>Delegierte Verordnung (EU) 2019/331 der Kommission vom 19. Dezember 2018 zur Festlegung EU-weiter Übergangsvorschriften zur Harmonisierung der kostenlosen Zuteilung von Emissionszertifikaten gemäß Artikel 10a der Richtlinie 2003/87/EG des Europäischen Parlaments und des Rates.</t>
  </si>
  <si>
    <t>https://eur-lex.europa.eu/legal-content/EN/TXT/?uri=CELEX%3A02019R0331-20190227</t>
  </si>
  <si>
    <t>Beschluss 2011/278/EU</t>
  </si>
  <si>
    <t>2011/278/EU: Beschluss der Kommission vom 27. April 2011 zur Festlegung EU-weiter Übergangsvorschriften zur Harmonisierung der kostenlosen Zuteilung von Emissionszertifikaten gemäß Artikel 10a der Richtlinie 2003/87/EG des Europäischen Parlaments und des Rate</t>
  </si>
  <si>
    <t>https://op.europa.eu/en/publication-detail/-/publication/25d79153-02b6-4370-974c-2a45baf79167/language-de</t>
  </si>
  <si>
    <t>Voldsund, M., Anantharaman, R., Berstad, D., De Lena, E., Fu, C., Gardarsdottir, S. O., Jamali, A., Pérez-Calvo, J.-F., Romano, M., Roussanaly, S., Ruppert, J., Stallmann, O., Sutter, D. (2019). Deliverable 4.6 CEMCAP comparative techno-economic analysis of CO2 capture in cement plants.</t>
  </si>
  <si>
    <t>Cinti, G., Anantharaman, R., De Lena, E., Fu, C., Gardarsdottir, S. O., Hoppe, H., Jamali, A., Romano, M., Roussanaly, S., Spinelli, M., Stallmann, O., Voldsund, M. (2018). Deliverable 4.4 Cost of critical performance in CO2 capture processes.</t>
  </si>
  <si>
    <t>Cinti et al. (2018)</t>
  </si>
  <si>
    <t>DEHSt (2020).</t>
  </si>
  <si>
    <t>ECRA (2009)</t>
  </si>
  <si>
    <t>ECRA (2012)</t>
  </si>
  <si>
    <t>European Cement Research Academy (2012). Technical Report - ECRA CCS Project - Report on Phase III.</t>
  </si>
  <si>
    <t xml:space="preserve">European Cement Research Academy (2009). Technical Report - ECRA CCS Project  - Report on Phase II. </t>
  </si>
  <si>
    <t>UBA (2020). Berichterstattung unter der Klimarahmenkonvention der Vereinten Nationen und dem Kyoto-Protokoll 2020. Nationaler Inventarbericht zum Deutschen Treibhausgasinventar 1990 – 2018.</t>
  </si>
  <si>
    <t>Rubin, E., Davison, J. E., Herzog, H. J. (2015). The cost of CO2 capture and storage. International Journal of Greenhouse Gas Control, Vol. 40, pp. 378-400.</t>
  </si>
  <si>
    <t>Öko-Institut (2017). Die deutsche Braunkohlenwirtschaft. Historische Entwicklungen, Ressourcen, Technik, wirtschaftliche Strukturen und Umweltauswirkungen. Studie im Auftrag von Agora Energiewende und der European Climate Foundation</t>
  </si>
  <si>
    <t>IEAGHG (2013). Deployment of CCS in the cement industry. 2013/19, December, 2013.</t>
  </si>
  <si>
    <t xml:space="preserve">European Technology Platform for Zero Emission Fossil Fuel Power Plants (2011). The costs of CO2 capture, transport and storage. Post-demonstration CCS in the EU. </t>
  </si>
  <si>
    <t>Zieri, W., Ismail, I. (2019). Alternative Fuels from Waste Products in Cement Industry. In: Martinez, L., Kharissova, O., Kharisov, B. (eds) Handbook of Ecomaterials. Springer, Cham.</t>
  </si>
  <si>
    <t>Zieri (2019)</t>
  </si>
  <si>
    <t>Zieri &amp; Ismail (2019)</t>
  </si>
  <si>
    <t>IHS Markit (2020). McCloskey Coal Report. Comprehensive news and analysis of the international coal market. Issue 476.</t>
  </si>
  <si>
    <t xml:space="preserve">Lechtenböhmer, S., Nanning, S., Hillebrand, B., Buttermann, H.-G. (2006). Einsatz von Sekundärbrennstoffen.Umsetzung des Inventarplanes und  nationale unabhängige Überprüfung  der Emissionsinventare für Treibhausgase,  Teilvorhaben 02. </t>
  </si>
  <si>
    <t>https://www.umweltbundesamt.de/sites/default/files/medien/publikation/long/3011.pdf</t>
  </si>
  <si>
    <t>Lechtenböhmer et al. (2006)</t>
  </si>
  <si>
    <t xml:space="preserve">Naturstrom (2021). Naturstrom Biogas. </t>
  </si>
  <si>
    <t>BDEW (2021).</t>
  </si>
  <si>
    <t>BDEW (2021). BDEW-Gaspreisanalyse. Januar 2021. Haushalte.</t>
  </si>
  <si>
    <t>https://www.bdew.de/media/documents/BDEW-Gaspreisanalyse_no_halbjaehrlich_Ba_online_29012021.pdf</t>
  </si>
  <si>
    <t>IEAGHG (2013) / Voldsund et al. (2019)</t>
  </si>
  <si>
    <t>Voldsund et al. (2019)</t>
  </si>
  <si>
    <t>historische Spannbreite 2016-2020  gemäß BDEW (2021)</t>
  </si>
  <si>
    <t>ECRA (2009),</t>
  </si>
  <si>
    <t>ECRA (2009); ECRA (2017)</t>
  </si>
  <si>
    <t>Durusut &amp; Joos (2018)</t>
  </si>
  <si>
    <t>https://assets.publishing.service.gov.uk/government/uploads/system/uploads/attachment_data/file/761762/BEIS_Shipping_CO2.pdf</t>
  </si>
  <si>
    <t xml:space="preserve">Durusut, E., Joos, M. (2018). Shipping CO2 – UK Cost Estimation Study. Final report for Business, Energy &amp; Industrial Strategy Department. Element Energy Limited, Cambridge. </t>
  </si>
  <si>
    <t>Gerbelova et al (2017)</t>
  </si>
  <si>
    <t>https://www.sciencedirect.com/science/article/pii/S1876610217319537</t>
  </si>
  <si>
    <t>Gerbelova et al. (2017)</t>
  </si>
  <si>
    <t>Gerbelová, H., van der Spek, M., Schakel, W. (2017). Feasibility Assessment of CO2 Capture Retrofitted to an Existing Cement Plant: Post-combustion vs. Oxy-fuel Combustion Technology, Energy Procedia, Vol. 114, 2017, pp. 6141-6149.</t>
  </si>
  <si>
    <t>Durusut &amp; Joos (2018), Rubin et al. (2015), ZEP (2011)</t>
  </si>
  <si>
    <t xml:space="preserve">Pipeline: 12€/t Transport (Mittlerer Wert aus Durusut &amp; Joost sowie Maximum Rubin et al.) + 14 €/t Speicherung (Maximum für entleerte offshore Öl- und Gasfelder (DOGF) gemäß ZEP 2011) </t>
  </si>
  <si>
    <t xml:space="preserve">Nur Transport (via Schiff); Transportmenge 1 Mio t CO2/Jahr; vorhandene Plattform zum Entladen, Entfernung 800km -&gt; gemäß Quelle: 20 Pfund / t CO2. Eigene Umrechnung in Euro </t>
  </si>
  <si>
    <t xml:space="preserve">Nur Transport (via Pipeline); Durchflussrate 1 Mio t CO2/Jahr; Entfernung 300km (ca. Beckum - Rotterdam) -&gt; gemäß Quelle: 12 Pfund / t CO2. Eigene Umrechnung in Euro.  </t>
  </si>
  <si>
    <r>
      <rPr>
        <b/>
        <sz val="10"/>
        <rFont val="Arial"/>
        <family val="2"/>
      </rPr>
      <t>Erläuterung:</t>
    </r>
    <r>
      <rPr>
        <sz val="10"/>
        <rFont val="Arial"/>
        <family val="2"/>
      </rPr>
      <t xml:space="preserve"> In diesem Blatt werden die zentralen Quellen zur Herleitung der Defaultwerte für die spezifischen Einsatzmengen bei den betrachteten Technologien aufgeführt. Bezugsgröße ist die Produktion einer Tonne Zementklinker bzw. bei den Kapitalkosten die Kapazität zur Produktion einer Tonne Zementklinker.</t>
    </r>
  </si>
  <si>
    <t xml:space="preserve">Proxy: CO2-Reinigung und -Kompression an Oxyfuel-Anlage </t>
  </si>
  <si>
    <t>Wert für Pipeline-Transport (110 bar, 30 °C)</t>
  </si>
  <si>
    <t xml:space="preserve">Im LEILAC-Verfahren werden nur prozessbedingte Emissionen abgeschieden. </t>
  </si>
  <si>
    <t xml:space="preserve">"Kein erhöhter CAPEX ggü. Referenzfall", bezogen auf Kalzinatorkosten. Aufschlag 10 Mio € (Schätzung) für erhöhten Aufwand bei Strominfrastruktur für Elektrifizierung LEILAC </t>
  </si>
  <si>
    <t>Proxy: entsprechend Bilanz Oxyfuel</t>
  </si>
  <si>
    <t>Gerbelova (2017)</t>
  </si>
  <si>
    <t>Bei Oxyfuel tritt ein zusätzlicher Wärmestrom an der zweiten Stufe des Oxyfuel-Klinker-Kühlers auf, der für ORC (Organic Rankine Cycle) genutzt werden kann.</t>
  </si>
  <si>
    <t>Abgas Klinkerkühler</t>
  </si>
  <si>
    <t xml:space="preserve">Abgas Klinkerofen </t>
  </si>
  <si>
    <t>Vollständige Investitionskosten. ("Total investment costs, inkl. Desing&amp;Engineering, Construction, Contingencies, other cots, fees, owner costs and EPC Services").</t>
  </si>
  <si>
    <t>Neubau Oxyfuel-Anlage</t>
  </si>
  <si>
    <t>Vollständige Investitionskosten. ("Total capital required", beinhaltet: "equipment cost, civil, engineering, designing and steel work as well as erection" + 10% "contingencies and fees" +"interest during construction, working capital, spare parts, start-up costs")</t>
  </si>
  <si>
    <t xml:space="preserve">Nur "equipment costs" (Verdichtungs- und Aufreinigungseinheit) </t>
  </si>
  <si>
    <t>Für Anlage mit Kapazität 1,8 Mt Klinker / Jahr; incl. Retrofit "cost premium" von 25% und Finanzierungskosten</t>
  </si>
  <si>
    <t>Wartung, Arbeit, Verwaltung, Versicherung, lokale Steuern. Eigene Umrechnung von Zement auf Klinker mittels Klinkerfaktor 0,737</t>
  </si>
  <si>
    <t xml:space="preserve">Fixe Betriebskosten (Wartung, Arbeits, Aufsicht, Verwaltung, allgemeine Overheads, Versicherung, lokale Steuern) </t>
  </si>
  <si>
    <t xml:space="preserve">Eigene Berechnung basierend auf Quelle. Strombedarf 110 kWh/t Zement (Durchschnitt DE 2010-14), abzgl. 46% Strombedarf der Zementmühle; Klinkerfaktor 0,72; zzgl. 5 kWh/t Klinker SCR-Technik. </t>
  </si>
  <si>
    <t>Spezifischer elektrischer Energiebedarf Klinkerproduktion (f. Klinkerofen mit Jahreskapazität von 2 Mio. t / Jahr)</t>
  </si>
  <si>
    <t xml:space="preserve">Abgas Klinkerkühler </t>
  </si>
  <si>
    <t>Abgas Klinkerofen</t>
  </si>
  <si>
    <t>Fixe und variable (ohne Energiekosten) Betriebs- und Wartungskosten (in der Quelle nicht näher spezifiziert). Eigene Umrechnung mit Klinkerfaktor 0,737</t>
  </si>
  <si>
    <t>Operative, administrative und Hilfsarbeitskräfte, Versicherung, lokale Steuern, Wartungskosten</t>
  </si>
  <si>
    <t>Vollständige fixe Betriebskosten. Eigene Umrechnung mit Klinkerfaktor 0,737</t>
  </si>
  <si>
    <t>Investitionskosten (nicht näher definiert) für ein Werk mit Kapazität 1 Mio. t Klinker/Jahr</t>
  </si>
  <si>
    <t>Vollständige Investitionskosten = "Total installed costs" (Design + Engineering, Construction, other costs, EPC services) + 5% "Owners costs" und 5% "Contingencies" [1 Mt Klinker/a]</t>
  </si>
  <si>
    <t>Vollständige Investitionskosten</t>
  </si>
  <si>
    <t>Vollständige Werkskosten (170k €) + Owners costs, Zins während der Bauphase, andere Kosten (26,3 k €)</t>
  </si>
  <si>
    <t>Vollständige Investitionskosten, Wert Cemzero als Default</t>
  </si>
  <si>
    <t>Als Vergleich. Th. Energieeinsatz: 3,29 GJ/ t Klinker; 69,5% fossile Brennstoff, 26% ABS und 4,5% Biomasse.</t>
  </si>
  <si>
    <t>Eigene Berechnung basierend auf Quelle (Klinkerproduktion 816 kt, biogene brennstoffbedingte CO2-Mengen: 55 kt). Referenzwerk 2016; th. Energieeinsatz ca. 3,8 GJ/t Klinker; 65% ABS</t>
  </si>
  <si>
    <t>Referenzwerk. Th. Energieeinsatz 3,51 GJ/ t Klinker; 84% Kohle, 10,2% ABS und 5,8 % Biomasse</t>
  </si>
  <si>
    <t xml:space="preserve">Strombasierte Wärmebereitstellung am Kalzinator </t>
  </si>
  <si>
    <t>https://pubs.acs.org/doi/abs/10.1021/acs.est.5b03508</t>
  </si>
  <si>
    <t>https://www.sciencedirect.com/science/article/pii/S1876610217319550</t>
  </si>
  <si>
    <t>https://www.cementa.se/sites/default/files/assets/document/65/de/final_cemzero_2018_public_version_2.0.pdf.pdf</t>
  </si>
  <si>
    <t>https://www.bundesfinanzministerium.de/Content/DE/Standardartikel/Themen/Steuern/Weitere_Steuerthemen/Betriebspruefung/AfA-Tabellen/AfA-Tabelle_Zementindustrie.html</t>
  </si>
  <si>
    <t>https://www.vdz-online.de/wissensportal/publikationen/umweltdaten-der-deutschen-zementindustrie-2019</t>
  </si>
  <si>
    <t>VDZ (2019). Umweltdaten der deutschen Zementindustrie.</t>
  </si>
  <si>
    <t>Hills, T. P., Leeson, D., Florin, N.H., Fennel, P. (2016).Carbon Capture in the Cement Industry: Technologies, Progress, and Retrofitting. In: Environmental Science and Technology, Vol. 50, 368-377.</t>
  </si>
  <si>
    <t>Hills et al. (2016)</t>
  </si>
  <si>
    <t>Basierend auf UBA (2006) sowie Mix gemäß VDZ Umweltdaten (2017)</t>
  </si>
  <si>
    <t>https://www.vdz-online.de/wissensportal/publikationen/umweltdaten-der-deutschen-zementindustrie-2017</t>
  </si>
  <si>
    <t>VDZ (2017)</t>
  </si>
  <si>
    <t>VDZ (2019)</t>
  </si>
  <si>
    <t>VDZ (2017). Umweltdaten der deutschen Zementindustrie.</t>
  </si>
  <si>
    <t>Eigene Berechnung basierend auf Quelle (Klinkerproduktion 816 kt; fossile brennstoffbedingte CO2-Mengen: 222 kt). Referenzwerk 2016; th. Energieeinsatz ca. 3,8 GJ/t Klinker; 65% Alternative Brennstoffe (ABS)</t>
  </si>
  <si>
    <t>HeidelbergCement, persönliche Kommunikation (e-mail, 3.9.2019)</t>
  </si>
  <si>
    <t>HeidelbergCement, pers. Kommunikation (e-mail, 13.8.2019)</t>
  </si>
  <si>
    <t>Börsenpreis (Börse online, 1.12.2020)</t>
  </si>
  <si>
    <t>ja</t>
  </si>
  <si>
    <t>Annahme EUA-Preis</t>
  </si>
  <si>
    <t>Schiff</t>
  </si>
  <si>
    <t xml:space="preserve">Für eine erste Darstellung sind Default-Werte hinterlegt, welche der aktuellen wissenschaftlichen Literatur entnommen und durch Expertentengespräche ergänzt wurden. Da es sich überwiegend um neue Technologien handelt, deren Entwicklung und Einsatz von vielen Spezifika abhängt, streuen die verfügbaren Angaben relativ breit. Für die Auswahl der Default-Werte wurden entweder Mittelwerte gebildet oder eine Festlegung nach verschiedenen Kriterien wie Studienaktualität, Passgenauigkeit für den Untersuchungsgegenstand oder Validierung durch Expertengespräche getroffen. Um auch individuelle Einschätzungen sowie standortspezifische Faktoren abzubilden, können die Default-Werte durch Handeingaben im Tabellenblatt "Rechner" ersetzt und/oder ergänzt werden.    </t>
  </si>
  <si>
    <t>Hintergründe und Ziele dieses Transformationskostenrechners (TKR):</t>
  </si>
  <si>
    <t>Erläuterungen</t>
  </si>
  <si>
    <t>Bei dieser ersten Version des TKR handelt es sich um eine vorläufige Fassung, die wir mit dem Ziel der Konsultation und Verbesserung zur Diskussion stellen. Darüber hinaus soll das Werkzeug eine allgemeine Diskussion und Einschätzung der generellen Transformationskosten unterstützen. Die Verwendung für die Einschätzung konkreter Projekte ist unter eigener Verantwortung der Beteiligten möglich, kann aber eine spezifische Investitionsanalyse nicht ersetzen.</t>
  </si>
  <si>
    <t>CAPEX Luftzerlegungsanlage (nur Oxyfuel)</t>
  </si>
  <si>
    <t>Cemzero and Vattenfall (2018)</t>
  </si>
  <si>
    <t>Weblink (Stand 18.6.2021)</t>
  </si>
  <si>
    <t>Projektleitung:</t>
  </si>
  <si>
    <t>Philipp D. Hauser</t>
  </si>
  <si>
    <t>Review:</t>
  </si>
  <si>
    <t>Helen Burmeister</t>
  </si>
  <si>
    <t>Gestaltung:</t>
  </si>
  <si>
    <t>Hills et al (2016)</t>
  </si>
  <si>
    <t>Wert Voldsund et al. (2019) als Default</t>
  </si>
  <si>
    <t>Mehrkosten / Differenzkosten zum EUA-Preis</t>
  </si>
  <si>
    <r>
      <t>CO</t>
    </r>
    <r>
      <rPr>
        <b/>
        <vertAlign val="subscript"/>
        <sz val="14"/>
        <color rgb="FF617494"/>
        <rFont val="Arial"/>
        <family val="2"/>
      </rPr>
      <t>2</t>
    </r>
    <r>
      <rPr>
        <b/>
        <sz val="14"/>
        <color rgb="FF617494"/>
        <rFont val="Arial"/>
        <family val="2"/>
      </rPr>
      <t>-Minderungskosten</t>
    </r>
  </si>
  <si>
    <t>CO2-Minderungskosten</t>
  </si>
  <si>
    <t>∆ OPEX</t>
  </si>
  <si>
    <t>∆ OPEX, ∆ CAPEX</t>
  </si>
  <si>
    <t xml:space="preserve">spezifische CO2-Minderung </t>
  </si>
  <si>
    <r>
      <t>CO</t>
    </r>
    <r>
      <rPr>
        <vertAlign val="subscript"/>
        <sz val="10"/>
        <color theme="1"/>
        <rFont val="Arial"/>
        <family val="2"/>
      </rPr>
      <t>2</t>
    </r>
    <r>
      <rPr>
        <sz val="10"/>
        <color theme="1"/>
        <rFont val="Arial"/>
        <family val="2"/>
      </rPr>
      <t>-Minderungskosten</t>
    </r>
  </si>
  <si>
    <r>
      <t>CO</t>
    </r>
    <r>
      <rPr>
        <vertAlign val="subscript"/>
        <sz val="10"/>
        <color theme="1"/>
        <rFont val="Arial"/>
        <family val="2"/>
      </rPr>
      <t>2</t>
    </r>
    <r>
      <rPr>
        <sz val="10"/>
        <color theme="1"/>
        <rFont val="Arial"/>
        <family val="2"/>
      </rPr>
      <t>-Minderung gesamt</t>
    </r>
  </si>
  <si>
    <r>
      <t>Abscheidung fossiles CO</t>
    </r>
    <r>
      <rPr>
        <vertAlign val="subscript"/>
        <sz val="10"/>
        <color theme="1"/>
        <rFont val="Arial"/>
        <family val="2"/>
      </rPr>
      <t>2</t>
    </r>
  </si>
  <si>
    <r>
      <t>Abscheidung biogenes CO</t>
    </r>
    <r>
      <rPr>
        <vertAlign val="subscript"/>
        <sz val="10"/>
        <color theme="1"/>
        <rFont val="Arial"/>
        <family val="2"/>
      </rPr>
      <t>2</t>
    </r>
  </si>
  <si>
    <r>
      <t>CO</t>
    </r>
    <r>
      <rPr>
        <vertAlign val="subscript"/>
        <sz val="10"/>
        <rFont val="Arial"/>
        <family val="2"/>
      </rPr>
      <t>2</t>
    </r>
    <r>
      <rPr>
        <sz val="10"/>
        <rFont val="Arial"/>
        <family val="2"/>
      </rPr>
      <t>-Transport</t>
    </r>
  </si>
  <si>
    <t>Wörtler et al. (2013)</t>
  </si>
  <si>
    <t>Wörtler, M., Schuler, F., Voigt, N., Schmidt, T., Dahlmann, P., Lüngen, H. B., Ghenda, J-T. (2013). Steel’s Contribution to a Low-Carbon Europe 2050: Technical and Economic Analysis of the Sector’s CO2 Abatement Potential. BCG und VDEh.</t>
  </si>
  <si>
    <t>https://www.stahl-online.de//wp-content/uploads/Schlussbericht-Studie-Low-carbon-Europe-2050_-Mai-20131.pdf</t>
  </si>
  <si>
    <t>Strombedarf (ohne Luftzerlegungsanlage und CO2-Reinigung und -Kompression)</t>
  </si>
  <si>
    <t>Abscheiderate kann im Rechner händisch gesetzt werden. Default-Wert entsprechend CEMCAP D4.6 "Base case"</t>
  </si>
  <si>
    <t>Wert Cinti et al. als Default</t>
  </si>
  <si>
    <t>Capex CO2-Reinigungs- und Kompressionsanlage</t>
  </si>
  <si>
    <t>Gutschrift CO2-Senkenzertifikate</t>
  </si>
  <si>
    <t>Nina Zetsche</t>
  </si>
  <si>
    <t>Sauerstoffspezifischer Strombedarf für Luftzerlegungsanlage</t>
  </si>
  <si>
    <t>Sauerstoffbedarf</t>
  </si>
  <si>
    <t xml:space="preserve">Klimaschutzverträge für die Industrietransformation: Rechner für die Abschätzung </t>
  </si>
  <si>
    <t>der Transformationskosten einer klimafreundlichen Zementproduktion</t>
  </si>
  <si>
    <r>
      <rPr>
        <b/>
        <sz val="10"/>
        <color theme="1"/>
        <rFont val="Arial"/>
        <family val="2"/>
      </rPr>
      <t xml:space="preserve">Erläuterung: </t>
    </r>
    <r>
      <rPr>
        <sz val="10"/>
        <color theme="1"/>
        <rFont val="Arial"/>
        <family val="2"/>
      </rPr>
      <t xml:space="preserve">Darstellung der Mehrkosten für die Produktion von klimafreundlichem Zement in Abhängigkeit des EUA-Preises. </t>
    </r>
  </si>
  <si>
    <t>1a) Kostenblöcke produktbezogen</t>
  </si>
  <si>
    <t>1b) Detailbetrachtung OPEX</t>
  </si>
  <si>
    <r>
      <t>2a) CO</t>
    </r>
    <r>
      <rPr>
        <b/>
        <vertAlign val="subscript"/>
        <sz val="14"/>
        <color rgb="FF617494"/>
        <rFont val="Arial"/>
        <family val="2"/>
      </rPr>
      <t>2</t>
    </r>
    <r>
      <rPr>
        <b/>
        <sz val="14"/>
        <color rgb="FF617494"/>
        <rFont val="Arial"/>
        <family val="2"/>
      </rPr>
      <t>-Minderungskosten</t>
    </r>
  </si>
  <si>
    <t>3) Mehrkosten als Funktion des EUA-Preises</t>
  </si>
  <si>
    <r>
      <t xml:space="preserve">Erläuterung: </t>
    </r>
    <r>
      <rPr>
        <sz val="10"/>
        <color theme="1"/>
        <rFont val="Arial"/>
        <family val="2"/>
      </rPr>
      <t>Darstellung der relevanten Kostenblöcke bezogen auf die Produktion einer t Zementklinker. Für den Fall, dass freie Zuteilungen nicht berücksichtigt werden, ergibt sich das hypothetische Szenario eines effektiven CO</t>
    </r>
    <r>
      <rPr>
        <vertAlign val="subscript"/>
        <sz val="10"/>
        <color theme="1"/>
        <rFont val="Arial"/>
        <family val="2"/>
      </rPr>
      <t>2</t>
    </r>
    <r>
      <rPr>
        <sz val="10"/>
        <color theme="1"/>
        <rFont val="Arial"/>
        <family val="2"/>
      </rPr>
      <t>-Preises in der gewählten Höhe. Der Effekt einer Gutschrift für eventuelle CO</t>
    </r>
    <r>
      <rPr>
        <vertAlign val="subscript"/>
        <sz val="10"/>
        <color theme="1"/>
        <rFont val="Arial"/>
        <family val="2"/>
      </rPr>
      <t>2</t>
    </r>
    <r>
      <rPr>
        <sz val="10"/>
        <color theme="1"/>
        <rFont val="Arial"/>
        <family val="2"/>
      </rPr>
      <t xml:space="preserve">-Senkenzertifikate für das Oxyfuel-verfahren kann über die Auswahl visualisiert werden. Der Brennstoffmix für Oxyfuel und E-Leilac kann über die Auswahl in Abbildung 2b variiert werden. </t>
    </r>
  </si>
  <si>
    <t>Umzurüstende Kapazität [Mt Klinker]</t>
  </si>
  <si>
    <t>Brennstoffpreise</t>
  </si>
  <si>
    <t>Brennstoffmix Drehrohrofen</t>
  </si>
  <si>
    <t>Brennstoffmix Oxyfuel</t>
  </si>
  <si>
    <t>Drehrohrofen</t>
  </si>
  <si>
    <t>Drehrohrofen + Oxyfuel</t>
  </si>
  <si>
    <t>Hochlauf der Kapazitäten</t>
  </si>
  <si>
    <t>Anteil Greenfield [%]</t>
  </si>
  <si>
    <t>Ausgangsszenario</t>
  </si>
  <si>
    <t>Auf-/Umbau Anlagen [Mt Kapa.]</t>
  </si>
  <si>
    <t>Anteil Retrofit [%]</t>
  </si>
  <si>
    <t>CAPEX Greenfield Drehrohrofen</t>
  </si>
  <si>
    <t>CAPEX Greenfield Oxyfuel</t>
  </si>
  <si>
    <t>CAPEX Retrofit Oxyfuel</t>
  </si>
  <si>
    <t>CAPEX Mehrkosten [Mio. €]</t>
  </si>
  <si>
    <t>Anzahl Verträge</t>
  </si>
  <si>
    <t>KSV 1 CAPEX</t>
  </si>
  <si>
    <t>Vertragslaufzeit [Jahre]</t>
  </si>
  <si>
    <t>Rohmehlbedarf Drehrohrofen</t>
  </si>
  <si>
    <t>Rohmehlbedarf Oxyfuel</t>
  </si>
  <si>
    <t>KSV 2 CAPEX</t>
  </si>
  <si>
    <t>Kapazität je Vertrag [Mt]</t>
  </si>
  <si>
    <t>Instandhaltung Drehrohrofen</t>
  </si>
  <si>
    <t>Instandhaltung Oxyfuel</t>
  </si>
  <si>
    <t>KSV 3 CAPEX</t>
  </si>
  <si>
    <t>Strombedarf Drehrohrofen</t>
  </si>
  <si>
    <t>Strombedarf Oxyfuel</t>
  </si>
  <si>
    <t>KSV 4 CAPEX</t>
  </si>
  <si>
    <t>Strompreise</t>
  </si>
  <si>
    <t>Kosten Sauerstoff (ASU nicht integriert)</t>
  </si>
  <si>
    <t>KSV 5 CAPEX</t>
  </si>
  <si>
    <t>CO2 Abtransport Transportweg</t>
  </si>
  <si>
    <t>KSV 6 CAPEX</t>
  </si>
  <si>
    <t>SUMME</t>
  </si>
  <si>
    <t>Brennstoffkosten Drehrohrofen</t>
  </si>
  <si>
    <t>Brennstoffkosten Oxyfuel</t>
  </si>
  <si>
    <t>LP20</t>
  </si>
  <si>
    <t>LP21</t>
  </si>
  <si>
    <t>Gutschrift negative Emissionen</t>
  </si>
  <si>
    <t>keine Gutschrift</t>
  </si>
  <si>
    <t>CO2 Produktion</t>
  </si>
  <si>
    <t>Geförderte Klinker Produktion [Mt]</t>
  </si>
  <si>
    <t>Entsäuerung Kalkstein</t>
  </si>
  <si>
    <t>Grüne Leitmärkte</t>
  </si>
  <si>
    <t>fossil</t>
  </si>
  <si>
    <t>Preisentwicklung EUA [€/EUA]</t>
  </si>
  <si>
    <t>biogen</t>
  </si>
  <si>
    <t>KSV 1</t>
  </si>
  <si>
    <t>CO2 Abscheidung und Speicherung</t>
  </si>
  <si>
    <t>KSV 2</t>
  </si>
  <si>
    <t>KSV 3</t>
  </si>
  <si>
    <t>KSV 4</t>
  </si>
  <si>
    <t>Kosten CO2-Speicherung</t>
  </si>
  <si>
    <t>KSV 5</t>
  </si>
  <si>
    <t>CO2 Emission</t>
  </si>
  <si>
    <t>KSV 6</t>
  </si>
  <si>
    <t>OPEX Mehrkosten Gesamt [Mio. €]</t>
  </si>
  <si>
    <t>Freie Zuteilung</t>
  </si>
  <si>
    <t>EUA/t Klinker</t>
  </si>
  <si>
    <t>OPEX + CAPEX Mehrkosten Gesamt [Mio. €]</t>
  </si>
  <si>
    <t>OPEX Mehrkosten Instandhaltung, Brennstoffmix, Strom, Sauerstoff, (Rohmehl) [Mio. €]</t>
  </si>
  <si>
    <t>Brennstoffzusammensetzung Oxyfuel</t>
  </si>
  <si>
    <t>Brennstoffpreise Oxyfuel</t>
  </si>
  <si>
    <t>Strompreis</t>
  </si>
  <si>
    <t>erst maximale Kosten und dann abschichten</t>
  </si>
  <si>
    <t xml:space="preserve"> - Szenario 1: fossil CCS + Schiff + keine Gutschrift</t>
  </si>
  <si>
    <t xml:space="preserve"> - niedrigere CCS Kosten (Pipeline)</t>
  </si>
  <si>
    <t xml:space="preserve"> - BECCS + Senkenleistung</t>
  </si>
  <si>
    <t xml:space="preserve"> - Grüne Leitmärkte</t>
  </si>
  <si>
    <t xml:space="preserve"> - Reasonable Assumptions: CO2 senkenleistung, Senkenleistung, BECCS, Grüne Leitmärkte (alles nicht 100%)</t>
  </si>
  <si>
    <t>OPEX EUA Kostendifferenz [Mio. €]</t>
  </si>
  <si>
    <t>Preis EUA [€/EUA]</t>
  </si>
  <si>
    <t>OPEX Kosten CO2 Abtransport [Mio. €]</t>
  </si>
  <si>
    <t>nein</t>
  </si>
  <si>
    <t>Szenario 1</t>
  </si>
  <si>
    <t>Szenario 2</t>
  </si>
  <si>
    <t>Szenario 3</t>
  </si>
  <si>
    <t>Szenario 4</t>
  </si>
  <si>
    <t>Szenario 5</t>
  </si>
  <si>
    <t>Szenario 6</t>
  </si>
  <si>
    <t>Brennstoffzusammensetzung Drehrohrofen</t>
  </si>
  <si>
    <t>keine Grünen Leitmärkte</t>
  </si>
  <si>
    <t>schnell</t>
  </si>
  <si>
    <t>Anteil Grüne Leitmärkte</t>
  </si>
  <si>
    <t>Strompreise [€/MWh]</t>
  </si>
  <si>
    <t>Spotpreissimulationen interpoliert</t>
  </si>
  <si>
    <t>hoch</t>
  </si>
  <si>
    <t>CO2-Marktpreis [€/EUA]</t>
  </si>
  <si>
    <t>konstant 50</t>
  </si>
  <si>
    <t>Gutschrift CO2-Senkenzertifikate [€/t CO2]</t>
  </si>
  <si>
    <t>Holzhackschnitzel</t>
  </si>
  <si>
    <t>CO2 Minderung und Senke [Mt CO2]</t>
  </si>
  <si>
    <t>Ausgangswert CO2 Emissionen Zementindustrie</t>
  </si>
  <si>
    <t>Mt</t>
  </si>
  <si>
    <t>CO2 Emissionen Zementindustrie [Mt CO2]</t>
  </si>
  <si>
    <t>Gesamt</t>
  </si>
  <si>
    <t>annualisiert:</t>
  </si>
  <si>
    <t>CAPEX annualisiert</t>
  </si>
  <si>
    <t>Langsamerer Anstieg</t>
  </si>
  <si>
    <t>entsprechend EUA Preis Ausgangsszenario</t>
  </si>
  <si>
    <t>sehr schneller Anstieg</t>
  </si>
  <si>
    <t>CAPEX (vollständig außer Luftzerlegungsanlage)</t>
  </si>
  <si>
    <t>Mehrkosten CAPEX Förderrate</t>
  </si>
  <si>
    <t>unberücksichtigt</t>
  </si>
  <si>
    <t>Produktion einer Tonne Klinker [t]</t>
  </si>
  <si>
    <t>CAPEX [€/t]</t>
  </si>
  <si>
    <t>OPEX (excl. EUA) [€/t]</t>
  </si>
  <si>
    <t>Kosten für EUA [€/t Klinker]</t>
  </si>
  <si>
    <t>Kostenfreie Zuteilung konventionelle Produktion [EUA/t Klinker]</t>
  </si>
  <si>
    <t>wie bisher</t>
  </si>
  <si>
    <t>Vorschlag der EC</t>
  </si>
  <si>
    <t>Kostenfreie Zuteilung Drehrohrofen</t>
  </si>
  <si>
    <t xml:space="preserve">Kostenfreie Zuteilung Oxyfuel </t>
  </si>
  <si>
    <t>Kostenfreie Zuteilung Oxyfuel [EUA/t Klinker]</t>
  </si>
  <si>
    <t>Kosten pro Tonne Klinker excl. CAPEX [€/t]</t>
  </si>
  <si>
    <t>Kosten pro Tonne Klinker incl. CAPEX [€/t]</t>
  </si>
  <si>
    <t xml:space="preserve">Green Premium </t>
  </si>
  <si>
    <t>(incl. CAPEX)</t>
  </si>
  <si>
    <t>(only OPEX)</t>
  </si>
  <si>
    <t>CAPEX + OPEX</t>
  </si>
  <si>
    <t>Premium für CCUS-basierten Klinker [%]</t>
  </si>
  <si>
    <t>CCUS-basierte Produktion [€/t]</t>
  </si>
  <si>
    <t>Konventionelle Produktion [€/t]</t>
  </si>
  <si>
    <t>1.1</t>
  </si>
  <si>
    <t>Agora Industrie gestattet.</t>
  </si>
  <si>
    <r>
      <t>Neben einer Bandbreite von Dekarbonisierungsstrategien, die insbesondere Materialeffizienz und -substitution in der gesamten Wertschöpfungskette hervorheben, ist für die Transformation der Zementindustrie aus heutiger Perspektive, der Einsatz von Carbon Capture and Storage (CCS)- sowie Carbon Capture and Use (CCU)-Technologien für einen treibhausgasneutralen Zementsektor unverzichtbar. Nur so können die bei der Zementklinkerproduktion entstehenden, prozessbedingten Emissionen beim Austreiben des CO</t>
    </r>
    <r>
      <rPr>
        <vertAlign val="subscript"/>
        <sz val="10"/>
        <rFont val="Arial"/>
        <family val="2"/>
      </rPr>
      <t>2</t>
    </r>
    <r>
      <rPr>
        <sz val="10"/>
        <rFont val="Arial"/>
        <family val="2"/>
      </rPr>
      <t xml:space="preserve"> aus dem Kalkstein abgeschieden bzw. weitergenutzt werden. Bei einer Anwendung von CCS oder CCU in Kombination mit nachhaltiger Biomasse (BECCS) sind dann sogar insgesamt negative Emissionen möglich. </t>
    </r>
  </si>
  <si>
    <r>
      <t>Um betriebs- und volkswirtschaftliche Kosten der Transformation zu einer klimaneutralen Zementproduktion abzuschätzen, wurde dieser Kostenrechner als Teil des Projektes „Klimaschutzverträge für die Industrietransformation“ entwickelt. Im Rahmen dieser Arbeit wird das Instrument der Klimaschutzverträge als Investitionsanreiz für CO</t>
    </r>
    <r>
      <rPr>
        <vertAlign val="subscript"/>
        <sz val="10"/>
        <rFont val="Arial"/>
        <family val="2"/>
      </rPr>
      <t>2</t>
    </r>
    <r>
      <rPr>
        <sz val="10"/>
        <rFont val="Arial"/>
        <family val="2"/>
      </rPr>
      <t xml:space="preserve">-arme und klimaneutrale bzw. klimapositive Produktionstechnologien diskutiert. Darüber hinaus wurde die Transformation für den Zementsektor in einem spezifischen Input-Papier erörtert und in Workshops mit Interessensvertretern diskutiert. Um dafür ökonomische und technologische Grundlagen zu schaffen, wurde dieser Transformationskostenrechner (TKR) erstellt. </t>
    </r>
  </si>
  <si>
    <r>
      <t>Das Ziel des TKR ist es, eine erste, qualifizierte Abschätzung der auf die CO</t>
    </r>
    <r>
      <rPr>
        <vertAlign val="subscript"/>
        <sz val="10"/>
        <rFont val="Arial"/>
        <family val="2"/>
      </rPr>
      <t>2</t>
    </r>
    <r>
      <rPr>
        <sz val="10"/>
        <rFont val="Arial"/>
        <family val="2"/>
      </rPr>
      <t>-Minderung bezogenen Mehrkosten einer CO</t>
    </r>
    <r>
      <rPr>
        <vertAlign val="subscript"/>
        <sz val="10"/>
        <rFont val="Arial"/>
        <family val="2"/>
      </rPr>
      <t>2</t>
    </r>
    <r>
      <rPr>
        <sz val="10"/>
        <rFont val="Arial"/>
        <family val="2"/>
      </rPr>
      <t>-armen oder klimaneutralen bzw. klimapositiven Produktion im Vergleich zur konventionellen Referenzanlage zu treffen. Die übergeordneten Ziele dabei sind:</t>
    </r>
  </si>
  <si>
    <t>Kommentare oder Empfehlungen</t>
  </si>
  <si>
    <r>
      <rPr>
        <b/>
        <sz val="10"/>
        <color theme="1"/>
        <rFont val="Arial"/>
        <family val="2"/>
      </rPr>
      <t>Erläuterungen:</t>
    </r>
    <r>
      <rPr>
        <sz val="10"/>
        <color theme="1"/>
        <rFont val="Arial"/>
        <family val="2"/>
      </rPr>
      <t xml:space="preserve"> In diesem Blatt werden die zentralen Berechnungen der Kosten zur Produktion einer Tonne Zementklinker in den drei betrachteten Varianten durchgeführt. Die hinterlegten Defaultwerte zu den Preisen sowie spezifischen Verbrauchswerten können durch Handeingaben angepasst werden. Alle Energiemengen beziehen sich auf den Heizwert. Bitte erläutern Sie Handeingaben im Erläuterungsfeld.</t>
    </r>
  </si>
  <si>
    <t>Generelle Variablen</t>
  </si>
  <si>
    <r>
      <t>CO</t>
    </r>
    <r>
      <rPr>
        <b/>
        <vertAlign val="subscript"/>
        <sz val="10"/>
        <color theme="1"/>
        <rFont val="Arial"/>
        <family val="2"/>
      </rPr>
      <t>2</t>
    </r>
    <r>
      <rPr>
        <b/>
        <sz val="10"/>
        <color theme="1"/>
        <rFont val="Arial"/>
        <family val="2"/>
      </rPr>
      <t>-Emissionen</t>
    </r>
  </si>
  <si>
    <r>
      <t>CO</t>
    </r>
    <r>
      <rPr>
        <b/>
        <vertAlign val="subscript"/>
        <sz val="10"/>
        <color theme="1"/>
        <rFont val="Arial"/>
        <family val="2"/>
      </rPr>
      <t>2</t>
    </r>
    <r>
      <rPr>
        <b/>
        <sz val="10"/>
        <color theme="1"/>
        <rFont val="Arial"/>
        <family val="2"/>
      </rPr>
      <t xml:space="preserve"> Preis (fossil)</t>
    </r>
  </si>
  <si>
    <r>
      <t>CO</t>
    </r>
    <r>
      <rPr>
        <b/>
        <vertAlign val="subscript"/>
        <sz val="10"/>
        <color theme="1"/>
        <rFont val="Arial"/>
        <family val="2"/>
      </rPr>
      <t>2</t>
    </r>
    <r>
      <rPr>
        <b/>
        <sz val="10"/>
        <color theme="1"/>
        <rFont val="Arial"/>
        <family val="2"/>
      </rPr>
      <t xml:space="preserve"> Preis (biogen)</t>
    </r>
  </si>
  <si>
    <r>
      <t>Preis für CO</t>
    </r>
    <r>
      <rPr>
        <b/>
        <vertAlign val="subscript"/>
        <sz val="10"/>
        <color theme="1"/>
        <rFont val="Arial"/>
        <family val="2"/>
      </rPr>
      <t>2</t>
    </r>
    <r>
      <rPr>
        <b/>
        <sz val="10"/>
        <color theme="1"/>
        <rFont val="Arial"/>
        <family val="2"/>
      </rPr>
      <t>-Senkenzertifikate, falls berücksichtigt</t>
    </r>
  </si>
  <si>
    <r>
      <t>CO</t>
    </r>
    <r>
      <rPr>
        <b/>
        <vertAlign val="subscript"/>
        <sz val="10"/>
        <color theme="1"/>
        <rFont val="Arial"/>
        <family val="2"/>
      </rPr>
      <t>2</t>
    </r>
    <r>
      <rPr>
        <b/>
        <sz val="10"/>
        <color theme="1"/>
        <rFont val="Arial"/>
        <family val="2"/>
      </rPr>
      <t>-Produktion</t>
    </r>
  </si>
  <si>
    <r>
      <t>CO</t>
    </r>
    <r>
      <rPr>
        <vertAlign val="subscript"/>
        <sz val="10"/>
        <color theme="1"/>
        <rFont val="Arial"/>
        <family val="2"/>
      </rPr>
      <t>2</t>
    </r>
    <r>
      <rPr>
        <sz val="10"/>
        <color theme="1"/>
        <rFont val="Arial"/>
        <family val="2"/>
      </rPr>
      <t xml:space="preserve"> aus Entsäuerung Kalkstein</t>
    </r>
  </si>
  <si>
    <r>
      <t>Fossiles CO</t>
    </r>
    <r>
      <rPr>
        <vertAlign val="subscript"/>
        <sz val="10"/>
        <color theme="1"/>
        <rFont val="Arial"/>
        <family val="2"/>
      </rPr>
      <t>2</t>
    </r>
    <r>
      <rPr>
        <sz val="10"/>
        <color theme="1"/>
        <rFont val="Arial"/>
        <family val="2"/>
      </rPr>
      <t xml:space="preserve"> aus Brennstoffen</t>
    </r>
  </si>
  <si>
    <r>
      <t>Biogenes CO</t>
    </r>
    <r>
      <rPr>
        <vertAlign val="subscript"/>
        <sz val="10"/>
        <color theme="1"/>
        <rFont val="Arial"/>
        <family val="2"/>
      </rPr>
      <t>2</t>
    </r>
    <r>
      <rPr>
        <sz val="10"/>
        <color theme="1"/>
        <rFont val="Arial"/>
        <family val="2"/>
      </rPr>
      <t xml:space="preserve"> aus Brennstoffen</t>
    </r>
  </si>
  <si>
    <r>
      <t>CO</t>
    </r>
    <r>
      <rPr>
        <b/>
        <vertAlign val="subscript"/>
        <sz val="10"/>
        <color theme="1"/>
        <rFont val="Arial"/>
        <family val="2"/>
      </rPr>
      <t>2</t>
    </r>
    <r>
      <rPr>
        <b/>
        <sz val="10"/>
        <color theme="1"/>
        <rFont val="Arial"/>
        <family val="2"/>
      </rPr>
      <t>-Abscheidung</t>
    </r>
  </si>
  <si>
    <r>
      <t>Abgeschiedenes biogenes CO</t>
    </r>
    <r>
      <rPr>
        <vertAlign val="subscript"/>
        <sz val="10"/>
        <color theme="1"/>
        <rFont val="Arial"/>
        <family val="2"/>
      </rPr>
      <t>2</t>
    </r>
    <r>
      <rPr>
        <sz val="10"/>
        <color theme="1"/>
        <rFont val="Arial"/>
        <family val="2"/>
      </rPr>
      <t xml:space="preserve"> (CO</t>
    </r>
    <r>
      <rPr>
        <vertAlign val="subscript"/>
        <sz val="10"/>
        <color theme="1"/>
        <rFont val="Arial"/>
        <family val="2"/>
      </rPr>
      <t>2</t>
    </r>
    <r>
      <rPr>
        <sz val="10"/>
        <color theme="1"/>
        <rFont val="Arial"/>
        <family val="2"/>
      </rPr>
      <t>-Senke)</t>
    </r>
  </si>
  <si>
    <r>
      <t>Abgeschiedenes fossiles CO</t>
    </r>
    <r>
      <rPr>
        <vertAlign val="subscript"/>
        <sz val="10"/>
        <color theme="1"/>
        <rFont val="Arial"/>
        <family val="2"/>
      </rPr>
      <t>2</t>
    </r>
  </si>
  <si>
    <r>
      <t>Emittiertes CO</t>
    </r>
    <r>
      <rPr>
        <vertAlign val="subscript"/>
        <sz val="10"/>
        <color theme="1"/>
        <rFont val="Arial"/>
        <family val="2"/>
      </rPr>
      <t>2</t>
    </r>
    <r>
      <rPr>
        <sz val="10"/>
        <color theme="1"/>
        <rFont val="Arial"/>
        <family val="2"/>
      </rPr>
      <t xml:space="preserve"> - fossil</t>
    </r>
  </si>
  <si>
    <r>
      <t>Emittiertes CO</t>
    </r>
    <r>
      <rPr>
        <vertAlign val="subscript"/>
        <sz val="10"/>
        <color theme="1"/>
        <rFont val="Arial"/>
        <family val="2"/>
      </rPr>
      <t>2</t>
    </r>
    <r>
      <rPr>
        <sz val="10"/>
        <color theme="1"/>
        <rFont val="Arial"/>
        <family val="2"/>
      </rPr>
      <t xml:space="preserve"> - biogen</t>
    </r>
  </si>
  <si>
    <r>
      <t>Netto Emittiertes CO</t>
    </r>
    <r>
      <rPr>
        <vertAlign val="subscript"/>
        <sz val="10"/>
        <color theme="1"/>
        <rFont val="Arial"/>
        <family val="2"/>
      </rPr>
      <t>2</t>
    </r>
    <r>
      <rPr>
        <sz val="10"/>
        <color theme="1"/>
        <rFont val="Arial"/>
        <family val="2"/>
      </rPr>
      <t xml:space="preserve"> - fossil abzüglich CO</t>
    </r>
    <r>
      <rPr>
        <vertAlign val="subscript"/>
        <sz val="10"/>
        <color theme="1"/>
        <rFont val="Arial"/>
        <family val="2"/>
      </rPr>
      <t>2</t>
    </r>
    <r>
      <rPr>
        <sz val="10"/>
        <color theme="1"/>
        <rFont val="Arial"/>
        <family val="2"/>
      </rPr>
      <t>-Senke</t>
    </r>
  </si>
  <si>
    <r>
      <t>Gutschrift CO</t>
    </r>
    <r>
      <rPr>
        <b/>
        <vertAlign val="subscript"/>
        <sz val="10"/>
        <color theme="1"/>
        <rFont val="Arial"/>
        <family val="2"/>
      </rPr>
      <t>2</t>
    </r>
    <r>
      <rPr>
        <b/>
        <sz val="10"/>
        <color theme="1"/>
        <rFont val="Arial"/>
        <family val="2"/>
      </rPr>
      <t>-Senken</t>
    </r>
  </si>
  <si>
    <t>Elektrifiziertes LEILAC 
(Drehrohrofen mit elektrifiziertem LEILAC-Kalzinator)</t>
  </si>
  <si>
    <t>Oxyfuel 
(Drehrohrofen mit Oxyfuel-Abscheidung)</t>
  </si>
  <si>
    <r>
      <t xml:space="preserve">Erläuterung: </t>
    </r>
    <r>
      <rPr>
        <sz val="10"/>
        <rFont val="Arial"/>
        <family val="2"/>
      </rPr>
      <t>Vergleichende Darstellung der relevanten betrieblichen Kostenblöcke (OPEX) bezogen auf die Produktion einer t Zementklinker. Die Auswirkungen des CO</t>
    </r>
    <r>
      <rPr>
        <vertAlign val="subscript"/>
        <sz val="10"/>
        <rFont val="Arial"/>
        <family val="2"/>
      </rPr>
      <t>2</t>
    </r>
    <r>
      <rPr>
        <sz val="10"/>
        <rFont val="Arial"/>
        <family val="2"/>
      </rPr>
      <t xml:space="preserve">-Preises werden in dieser Darstellung nicht berücksichtigt. Der Brennstoffmix für Oxyfuel und E-Leilac kann über die Auswahl in Abbildung 2b variiert werden. </t>
    </r>
  </si>
  <si>
    <r>
      <t xml:space="preserve">Erläuterungen: </t>
    </r>
    <r>
      <rPr>
        <sz val="10"/>
        <rFont val="Arial"/>
        <family val="2"/>
      </rPr>
      <t>Darstellung der betrieblichen CO</t>
    </r>
    <r>
      <rPr>
        <vertAlign val="subscript"/>
        <sz val="10"/>
        <rFont val="Arial"/>
        <family val="2"/>
      </rPr>
      <t>2</t>
    </r>
    <r>
      <rPr>
        <sz val="10"/>
        <rFont val="Arial"/>
        <family val="2"/>
      </rPr>
      <t>-Minderungskosten als Funktion ausgewählter Variablen. Die zu betrachteten Variablen können sinnvoll ausgewählt und kombiniert werden, um ihren Einfluss auf die Gesamtkosten abzuschätzen. Die Preisannahmen können für Sensitivitätsbetrachtungen variiert werden. Zudem kann die Zusammensetzung des Brennstoffmix variiert und der CO</t>
    </r>
    <r>
      <rPr>
        <vertAlign val="subscript"/>
        <sz val="10"/>
        <rFont val="Arial"/>
        <family val="2"/>
      </rPr>
      <t>2</t>
    </r>
    <r>
      <rPr>
        <sz val="10"/>
        <rFont val="Arial"/>
        <family val="2"/>
      </rPr>
      <t>-Transportweg verändert werden.</t>
    </r>
  </si>
  <si>
    <t>Eingabe 
Sensitivitäts-
betrachtung</t>
  </si>
  <si>
    <r>
      <t>Anrechnung von CO</t>
    </r>
    <r>
      <rPr>
        <b/>
        <vertAlign val="subscript"/>
        <sz val="10"/>
        <color theme="1"/>
        <rFont val="Arial"/>
        <family val="2"/>
      </rPr>
      <t>2</t>
    </r>
    <r>
      <rPr>
        <b/>
        <sz val="10"/>
        <color theme="1"/>
        <rFont val="Arial"/>
        <family val="2"/>
      </rPr>
      <t>-Senken auf CO</t>
    </r>
    <r>
      <rPr>
        <b/>
        <vertAlign val="subscript"/>
        <sz val="10"/>
        <color theme="1"/>
        <rFont val="Arial"/>
        <family val="2"/>
      </rPr>
      <t>2</t>
    </r>
    <r>
      <rPr>
        <b/>
        <sz val="10"/>
        <color theme="1"/>
        <rFont val="Arial"/>
        <family val="2"/>
      </rPr>
      <t>-Minderung</t>
    </r>
  </si>
  <si>
    <r>
      <t>t CO</t>
    </r>
    <r>
      <rPr>
        <b/>
        <vertAlign val="subscript"/>
        <sz val="10"/>
        <color theme="1"/>
        <rFont val="Arial"/>
        <family val="2"/>
      </rPr>
      <t>2</t>
    </r>
    <r>
      <rPr>
        <b/>
        <sz val="10"/>
        <color theme="1"/>
        <rFont val="Arial"/>
        <family val="2"/>
      </rPr>
      <t>/t Klinker</t>
    </r>
  </si>
  <si>
    <r>
      <t>CO</t>
    </r>
    <r>
      <rPr>
        <b/>
        <vertAlign val="subscript"/>
        <sz val="10"/>
        <color theme="1"/>
        <rFont val="Arial"/>
        <family val="2"/>
      </rPr>
      <t>2</t>
    </r>
    <r>
      <rPr>
        <b/>
        <sz val="10"/>
        <color theme="1"/>
        <rFont val="Arial"/>
        <family val="2"/>
      </rPr>
      <t>-Minderungskosten</t>
    </r>
  </si>
  <si>
    <r>
      <t>CO</t>
    </r>
    <r>
      <rPr>
        <b/>
        <vertAlign val="subscript"/>
        <sz val="10"/>
        <color theme="1"/>
        <rFont val="Arial"/>
        <family val="2"/>
      </rPr>
      <t>2</t>
    </r>
    <r>
      <rPr>
        <b/>
        <sz val="10"/>
        <color theme="1"/>
        <rFont val="Arial"/>
        <family val="2"/>
      </rPr>
      <t xml:space="preserve">-Transport-Gebühr </t>
    </r>
  </si>
  <si>
    <r>
      <t>CO</t>
    </r>
    <r>
      <rPr>
        <vertAlign val="subscript"/>
        <sz val="10"/>
        <color theme="1"/>
        <rFont val="Arial"/>
        <family val="2"/>
      </rPr>
      <t>2</t>
    </r>
    <r>
      <rPr>
        <sz val="10"/>
        <color theme="1"/>
        <rFont val="Arial"/>
        <family val="2"/>
      </rPr>
      <t xml:space="preserve">-Transport-Gebühr </t>
    </r>
  </si>
  <si>
    <r>
      <t>Auswahl CO</t>
    </r>
    <r>
      <rPr>
        <vertAlign val="subscript"/>
        <sz val="10"/>
        <color theme="1"/>
        <rFont val="Arial"/>
        <family val="2"/>
      </rPr>
      <t>2</t>
    </r>
    <r>
      <rPr>
        <sz val="10"/>
        <color theme="1"/>
        <rFont val="Arial"/>
        <family val="2"/>
      </rPr>
      <t>-Transportweg (Pipeline oder Schiff)</t>
    </r>
  </si>
  <si>
    <t>Berücksichtigung freie Zuteilung</t>
  </si>
  <si>
    <r>
      <t>2b) CO</t>
    </r>
    <r>
      <rPr>
        <b/>
        <vertAlign val="subscript"/>
        <sz val="14"/>
        <color rgb="FF617494"/>
        <rFont val="Arial"/>
        <family val="2"/>
      </rPr>
      <t>2</t>
    </r>
    <r>
      <rPr>
        <b/>
        <sz val="14"/>
        <color rgb="FF617494"/>
        <rFont val="Arial"/>
        <family val="2"/>
      </rPr>
      <t>-Minderungskosten als Funktion von Brennstoffmix und anderer Betriebskostenvariablen</t>
    </r>
  </si>
  <si>
    <r>
      <t>Emissionsfaktor fossil (kg CO</t>
    </r>
    <r>
      <rPr>
        <b/>
        <vertAlign val="subscript"/>
        <sz val="10"/>
        <color theme="1"/>
        <rFont val="Arial"/>
        <family val="2"/>
      </rPr>
      <t>2</t>
    </r>
    <r>
      <rPr>
        <b/>
        <sz val="10"/>
        <color theme="1"/>
        <rFont val="Arial"/>
        <family val="2"/>
      </rPr>
      <t>/GJ)</t>
    </r>
  </si>
  <si>
    <r>
      <t>Emissionsfaktor biogen (kg CO</t>
    </r>
    <r>
      <rPr>
        <b/>
        <vertAlign val="subscript"/>
        <sz val="10"/>
        <color theme="1"/>
        <rFont val="Arial"/>
        <family val="2"/>
      </rPr>
      <t>2</t>
    </r>
    <r>
      <rPr>
        <b/>
        <sz val="10"/>
        <color theme="1"/>
        <rFont val="Arial"/>
        <family val="2"/>
      </rPr>
      <t>/GJ)</t>
    </r>
  </si>
  <si>
    <r>
      <t>Brennstoffmix hat Einfluss auf CO</t>
    </r>
    <r>
      <rPr>
        <vertAlign val="subscript"/>
        <sz val="10"/>
        <color theme="1"/>
        <rFont val="Arial"/>
        <family val="2"/>
      </rPr>
      <t>2</t>
    </r>
    <r>
      <rPr>
        <sz val="10"/>
        <color theme="1"/>
        <rFont val="Arial"/>
        <family val="2"/>
      </rPr>
      <t>-Emissionen, mögliche negative Emissionen und Brennstoffkosten</t>
    </r>
  </si>
  <si>
    <t>Richtwert (0,69) basierend auf VDZ Umweltdaten 2019 sowie angenommenem Brennstoffbedarf von 3,5 GJ/t Klinker</t>
  </si>
  <si>
    <t>Richtwert basierend auf VDZ Umweltdaten 2019 sowie angenommenem Brennstoffbedarf von 3,5 GJ/t Klinker</t>
  </si>
  <si>
    <r>
      <t>CO</t>
    </r>
    <r>
      <rPr>
        <b/>
        <vertAlign val="subscript"/>
        <sz val="10"/>
        <rFont val="Arial"/>
        <family val="2"/>
      </rPr>
      <t>2</t>
    </r>
    <r>
      <rPr>
        <b/>
        <sz val="10"/>
        <rFont val="Arial"/>
        <family val="2"/>
      </rPr>
      <t>-Emissionen (t CO</t>
    </r>
    <r>
      <rPr>
        <b/>
        <vertAlign val="subscript"/>
        <sz val="10"/>
        <rFont val="Arial"/>
        <family val="2"/>
      </rPr>
      <t>2</t>
    </r>
    <r>
      <rPr>
        <b/>
        <sz val="10"/>
        <rFont val="Arial"/>
        <family val="2"/>
      </rPr>
      <t>/t Klinker)</t>
    </r>
  </si>
  <si>
    <r>
      <t>kg CO</t>
    </r>
    <r>
      <rPr>
        <vertAlign val="subscript"/>
        <sz val="10"/>
        <rFont val="Arial"/>
        <family val="2"/>
      </rPr>
      <t>2</t>
    </r>
    <r>
      <rPr>
        <sz val="10"/>
        <rFont val="Arial"/>
        <family val="2"/>
      </rPr>
      <t>/t Klinker</t>
    </r>
  </si>
  <si>
    <r>
      <t>kg CO</t>
    </r>
    <r>
      <rPr>
        <b/>
        <vertAlign val="subscript"/>
        <sz val="10"/>
        <rFont val="Arial"/>
        <family val="2"/>
      </rPr>
      <t>2</t>
    </r>
    <r>
      <rPr>
        <b/>
        <sz val="10"/>
        <rFont val="Arial"/>
        <family val="2"/>
      </rPr>
      <t>/t Klinker</t>
    </r>
  </si>
  <si>
    <r>
      <t>Eigene Berechnung basierend auf den Angaben in der Quelle (Produktionsmenge Referenzwerk im Basisjahr 2016: 816 kt Klinker, prozessbedingte CO</t>
    </r>
    <r>
      <rPr>
        <vertAlign val="subscript"/>
        <sz val="10"/>
        <rFont val="Arial"/>
        <family val="2"/>
      </rPr>
      <t>2</t>
    </r>
    <r>
      <rPr>
        <sz val="10"/>
        <rFont val="Arial"/>
        <family val="2"/>
      </rPr>
      <t>-Mengen im Basisjahr: 441 kt CO</t>
    </r>
    <r>
      <rPr>
        <vertAlign val="subscript"/>
        <sz val="10"/>
        <rFont val="Arial"/>
        <family val="2"/>
      </rPr>
      <t>2</t>
    </r>
    <r>
      <rPr>
        <sz val="10"/>
        <rFont val="Arial"/>
        <family val="2"/>
      </rPr>
      <t>)</t>
    </r>
  </si>
  <si>
    <r>
      <t>CO</t>
    </r>
    <r>
      <rPr>
        <vertAlign val="subscript"/>
        <sz val="10"/>
        <rFont val="Arial"/>
        <family val="2"/>
      </rPr>
      <t>2</t>
    </r>
    <r>
      <rPr>
        <sz val="10"/>
        <rFont val="Arial"/>
        <family val="2"/>
      </rPr>
      <t xml:space="preserve"> aus Brennstoffen folgt aus Brennstoffmix</t>
    </r>
  </si>
  <si>
    <r>
      <t>Biogenes CO</t>
    </r>
    <r>
      <rPr>
        <b/>
        <vertAlign val="subscript"/>
        <sz val="10"/>
        <rFont val="Arial"/>
        <family val="2"/>
      </rPr>
      <t>2</t>
    </r>
    <r>
      <rPr>
        <b/>
        <sz val="10"/>
        <rFont val="Arial"/>
        <family val="2"/>
      </rPr>
      <t xml:space="preserve"> aus Brennstoffen</t>
    </r>
  </si>
  <si>
    <r>
      <t>Fossiles CO</t>
    </r>
    <r>
      <rPr>
        <b/>
        <vertAlign val="subscript"/>
        <sz val="10"/>
        <rFont val="Arial"/>
        <family val="2"/>
      </rPr>
      <t>2</t>
    </r>
    <r>
      <rPr>
        <b/>
        <sz val="10"/>
        <rFont val="Arial"/>
        <family val="2"/>
      </rPr>
      <t xml:space="preserve"> aus Brennstoffen</t>
    </r>
  </si>
  <si>
    <r>
      <t>CO</t>
    </r>
    <r>
      <rPr>
        <b/>
        <vertAlign val="subscript"/>
        <sz val="10"/>
        <rFont val="Arial"/>
        <family val="2"/>
      </rPr>
      <t>2</t>
    </r>
    <r>
      <rPr>
        <b/>
        <sz val="10"/>
        <rFont val="Arial"/>
        <family val="2"/>
      </rPr>
      <t xml:space="preserve"> aus Entsäuerung Kalkstein</t>
    </r>
  </si>
  <si>
    <t>Brennstoffeinsatz 
(GJ/t Klinker)</t>
  </si>
  <si>
    <r>
      <t>Emissionsfaktor fossil 
(kgCO</t>
    </r>
    <r>
      <rPr>
        <b/>
        <vertAlign val="subscript"/>
        <sz val="10"/>
        <color theme="1"/>
        <rFont val="Arial"/>
        <family val="2"/>
      </rPr>
      <t>2</t>
    </r>
    <r>
      <rPr>
        <b/>
        <sz val="10"/>
        <color theme="1"/>
        <rFont val="Arial"/>
        <family val="2"/>
      </rPr>
      <t>/GJ)</t>
    </r>
  </si>
  <si>
    <r>
      <t>t O</t>
    </r>
    <r>
      <rPr>
        <vertAlign val="subscript"/>
        <sz val="10"/>
        <color theme="1"/>
        <rFont val="Arial"/>
        <family val="2"/>
      </rPr>
      <t>2</t>
    </r>
    <r>
      <rPr>
        <sz val="10"/>
        <color theme="1"/>
        <rFont val="Arial"/>
        <family val="2"/>
      </rPr>
      <t>/t Klinker</t>
    </r>
  </si>
  <si>
    <r>
      <t>Eigene Berechnung basierend auf Quelle (Sauerstoff Flussrate: 31 t O</t>
    </r>
    <r>
      <rPr>
        <vertAlign val="subscript"/>
        <sz val="10"/>
        <rFont val="Arial"/>
        <family val="2"/>
      </rPr>
      <t>2</t>
    </r>
    <r>
      <rPr>
        <sz val="10"/>
        <rFont val="Arial"/>
        <family val="2"/>
      </rPr>
      <t xml:space="preserve"> /h; Klinkerproduktion: 125 t/h)</t>
    </r>
  </si>
  <si>
    <r>
      <t>Eigene Berechnung basiered auf Quelle (30-35 t O</t>
    </r>
    <r>
      <rPr>
        <vertAlign val="subscript"/>
        <sz val="10"/>
        <color theme="1"/>
        <rFont val="Arial"/>
        <family val="2"/>
      </rPr>
      <t>2</t>
    </r>
    <r>
      <rPr>
        <sz val="10"/>
        <color theme="1"/>
        <rFont val="Arial"/>
        <family val="2"/>
      </rPr>
      <t>/h, Ofenkapazität 1 Mio. t Klinker / Jahr, Betriebszeit: 330 Tage / Jahr)</t>
    </r>
  </si>
  <si>
    <r>
      <t>t O</t>
    </r>
    <r>
      <rPr>
        <b/>
        <vertAlign val="subscript"/>
        <sz val="10"/>
        <color theme="1"/>
        <rFont val="Arial"/>
        <family val="2"/>
      </rPr>
      <t>2</t>
    </r>
    <r>
      <rPr>
        <b/>
        <sz val="10"/>
        <color theme="1"/>
        <rFont val="Arial"/>
        <family val="2"/>
      </rPr>
      <t>/t Klinker</t>
    </r>
  </si>
  <si>
    <r>
      <t>kWh/t O</t>
    </r>
    <r>
      <rPr>
        <vertAlign val="subscript"/>
        <sz val="10"/>
        <color theme="1"/>
        <rFont val="Arial"/>
        <family val="2"/>
      </rPr>
      <t>2</t>
    </r>
  </si>
  <si>
    <r>
      <t>kWh/t O</t>
    </r>
    <r>
      <rPr>
        <b/>
        <vertAlign val="subscript"/>
        <sz val="10"/>
        <color theme="1"/>
        <rFont val="Arial"/>
        <family val="2"/>
      </rPr>
      <t>2</t>
    </r>
  </si>
  <si>
    <r>
      <t>Stromverbrauch ist Funktion der Reinheit. Für 95% O</t>
    </r>
    <r>
      <rPr>
        <vertAlign val="subscript"/>
        <sz val="10"/>
        <color theme="1"/>
        <rFont val="Arial"/>
        <family val="2"/>
      </rPr>
      <t>2</t>
    </r>
    <r>
      <rPr>
        <sz val="10"/>
        <color theme="1"/>
        <rFont val="Arial"/>
        <family val="2"/>
      </rPr>
      <t>-Reinheit -&gt; 220kWh. "Ökonomisches Optimum" liegt laut Quelle bei 95-97,5% Reinheit. Range: 220 - 400 kWh/t O</t>
    </r>
    <r>
      <rPr>
        <vertAlign val="subscript"/>
        <sz val="10"/>
        <color theme="1"/>
        <rFont val="Arial"/>
        <family val="2"/>
      </rPr>
      <t>2</t>
    </r>
  </si>
  <si>
    <r>
      <t>Umgerechnet aus 220 kWh/t O</t>
    </r>
    <r>
      <rPr>
        <vertAlign val="subscript"/>
        <sz val="10"/>
        <color theme="1"/>
        <rFont val="Arial"/>
        <family val="2"/>
      </rPr>
      <t>2</t>
    </r>
  </si>
  <si>
    <r>
      <t>kWh/t CO</t>
    </r>
    <r>
      <rPr>
        <vertAlign val="subscript"/>
        <sz val="10"/>
        <rFont val="Arial"/>
        <family val="2"/>
      </rPr>
      <t>2</t>
    </r>
  </si>
  <si>
    <r>
      <t>kWh/t CO</t>
    </r>
    <r>
      <rPr>
        <b/>
        <vertAlign val="subscript"/>
        <sz val="10"/>
        <rFont val="Arial"/>
        <family val="2"/>
      </rPr>
      <t>2</t>
    </r>
  </si>
  <si>
    <r>
      <t>Verdichtung für Pipeline-Transport (100bar), 1 % Falschluft, 95% O</t>
    </r>
    <r>
      <rPr>
        <vertAlign val="subscript"/>
        <sz val="10"/>
        <color theme="1"/>
        <rFont val="Arial"/>
        <family val="2"/>
      </rPr>
      <t>2</t>
    </r>
    <r>
      <rPr>
        <sz val="10"/>
        <color theme="1"/>
        <rFont val="Arial"/>
        <family val="2"/>
      </rPr>
      <t>-Reinheit</t>
    </r>
  </si>
  <si>
    <r>
      <t>Eigene Berechnung basierend auf Quelle (440 kJ/kg CO</t>
    </r>
    <r>
      <rPr>
        <vertAlign val="subscript"/>
        <sz val="10"/>
        <rFont val="Arial"/>
        <family val="2"/>
      </rPr>
      <t>2</t>
    </r>
    <r>
      <rPr>
        <sz val="10"/>
        <rFont val="Arial"/>
        <family val="2"/>
      </rPr>
      <t>)</t>
    </r>
  </si>
  <si>
    <r>
      <t>kg CO</t>
    </r>
    <r>
      <rPr>
        <b/>
        <vertAlign val="subscript"/>
        <sz val="10"/>
        <color theme="1"/>
        <rFont val="Arial"/>
        <family val="2"/>
      </rPr>
      <t>2</t>
    </r>
    <r>
      <rPr>
        <b/>
        <sz val="10"/>
        <color theme="1"/>
        <rFont val="Arial"/>
        <family val="2"/>
      </rPr>
      <t>/t Klinker</t>
    </r>
  </si>
  <si>
    <r>
      <t>Ergibt sich aus CO</t>
    </r>
    <r>
      <rPr>
        <vertAlign val="subscript"/>
        <sz val="10"/>
        <color theme="1"/>
        <rFont val="Arial"/>
        <family val="2"/>
      </rPr>
      <t>2</t>
    </r>
    <r>
      <rPr>
        <sz val="10"/>
        <color theme="1"/>
        <rFont val="Arial"/>
        <family val="2"/>
      </rPr>
      <t>-Mengen und Abscheiderate</t>
    </r>
  </si>
  <si>
    <r>
      <t>Inkl. CO</t>
    </r>
    <r>
      <rPr>
        <vertAlign val="subscript"/>
        <sz val="10"/>
        <color theme="1"/>
        <rFont val="Arial"/>
        <family val="2"/>
      </rPr>
      <t>2</t>
    </r>
    <r>
      <rPr>
        <sz val="10"/>
        <color theme="1"/>
        <rFont val="Arial"/>
        <family val="2"/>
      </rPr>
      <t xml:space="preserve"> aus Entsäuerung Kalkstein; Wert ergibt sich aus CO</t>
    </r>
    <r>
      <rPr>
        <vertAlign val="subscript"/>
        <sz val="10"/>
        <color theme="1"/>
        <rFont val="Arial"/>
        <family val="2"/>
      </rPr>
      <t>2</t>
    </r>
    <r>
      <rPr>
        <sz val="10"/>
        <color theme="1"/>
        <rFont val="Arial"/>
        <family val="2"/>
      </rPr>
      <t>-Mengen und Abscheiderate</t>
    </r>
  </si>
  <si>
    <r>
      <t>CO</t>
    </r>
    <r>
      <rPr>
        <vertAlign val="subscript"/>
        <sz val="10"/>
        <color theme="1"/>
        <rFont val="Arial"/>
        <family val="2"/>
      </rPr>
      <t>2</t>
    </r>
    <r>
      <rPr>
        <sz val="10"/>
        <color theme="1"/>
        <rFont val="Arial"/>
        <family val="2"/>
      </rPr>
      <t xml:space="preserve"> aus Brennstoffen folgt aus Brennstoffmix</t>
    </r>
  </si>
  <si>
    <r>
      <t>CO</t>
    </r>
    <r>
      <rPr>
        <b/>
        <vertAlign val="subscript"/>
        <sz val="10"/>
        <color theme="1"/>
        <rFont val="Arial"/>
        <family val="2"/>
      </rPr>
      <t>2</t>
    </r>
    <r>
      <rPr>
        <b/>
        <sz val="10"/>
        <color theme="1"/>
        <rFont val="Arial"/>
        <family val="2"/>
      </rPr>
      <t>-Emissionen (t CO</t>
    </r>
    <r>
      <rPr>
        <b/>
        <vertAlign val="subscript"/>
        <sz val="10"/>
        <color theme="1"/>
        <rFont val="Arial"/>
        <family val="2"/>
      </rPr>
      <t>2</t>
    </r>
    <r>
      <rPr>
        <b/>
        <sz val="10"/>
        <color theme="1"/>
        <rFont val="Arial"/>
        <family val="2"/>
      </rPr>
      <t xml:space="preserve"> / t Klinker)</t>
    </r>
  </si>
  <si>
    <r>
      <t>CO</t>
    </r>
    <r>
      <rPr>
        <b/>
        <vertAlign val="subscript"/>
        <sz val="10"/>
        <color theme="1"/>
        <rFont val="Arial"/>
        <family val="2"/>
      </rPr>
      <t>2</t>
    </r>
    <r>
      <rPr>
        <b/>
        <sz val="10"/>
        <color theme="1"/>
        <rFont val="Arial"/>
        <family val="2"/>
      </rPr>
      <t xml:space="preserve"> aus Entsäuerung Kalkstein</t>
    </r>
  </si>
  <si>
    <r>
      <t>CO</t>
    </r>
    <r>
      <rPr>
        <b/>
        <vertAlign val="subscript"/>
        <sz val="10"/>
        <rFont val="Arial"/>
        <family val="2"/>
      </rPr>
      <t>2</t>
    </r>
    <r>
      <rPr>
        <b/>
        <sz val="10"/>
        <rFont val="Arial"/>
        <family val="2"/>
      </rPr>
      <t>-Abscheidung</t>
    </r>
  </si>
  <si>
    <r>
      <t>Abgeschiedenes biogenes CO</t>
    </r>
    <r>
      <rPr>
        <b/>
        <vertAlign val="subscript"/>
        <sz val="10"/>
        <rFont val="Arial"/>
        <family val="2"/>
      </rPr>
      <t>2</t>
    </r>
  </si>
  <si>
    <r>
      <t>Abgeschiedenes fossiles CO</t>
    </r>
    <r>
      <rPr>
        <b/>
        <vertAlign val="subscript"/>
        <sz val="10"/>
        <rFont val="Arial"/>
        <family val="2"/>
      </rPr>
      <t>2</t>
    </r>
  </si>
  <si>
    <r>
      <t>CO</t>
    </r>
    <r>
      <rPr>
        <b/>
        <vertAlign val="subscript"/>
        <sz val="10"/>
        <rFont val="Arial"/>
        <family val="2"/>
      </rPr>
      <t>2</t>
    </r>
    <r>
      <rPr>
        <b/>
        <sz val="10"/>
        <rFont val="Arial"/>
        <family val="2"/>
      </rPr>
      <t>-Emission</t>
    </r>
  </si>
  <si>
    <r>
      <t>Emittiertes fossiles CO</t>
    </r>
    <r>
      <rPr>
        <b/>
        <vertAlign val="subscript"/>
        <sz val="10"/>
        <rFont val="Arial"/>
        <family val="2"/>
      </rPr>
      <t>2</t>
    </r>
  </si>
  <si>
    <r>
      <t>Emittiertes biogenes CO</t>
    </r>
    <r>
      <rPr>
        <b/>
        <vertAlign val="subscript"/>
        <sz val="10"/>
        <rFont val="Arial"/>
        <family val="2"/>
      </rPr>
      <t>2</t>
    </r>
  </si>
  <si>
    <r>
      <t>Gesamte CO</t>
    </r>
    <r>
      <rPr>
        <b/>
        <vertAlign val="subscript"/>
        <sz val="10"/>
        <rFont val="Arial"/>
        <family val="2"/>
      </rPr>
      <t>2</t>
    </r>
    <r>
      <rPr>
        <b/>
        <sz val="10"/>
        <rFont val="Arial"/>
        <family val="2"/>
      </rPr>
      <t>-Emissionen</t>
    </r>
  </si>
  <si>
    <r>
      <t>Eigene Berechnung mittels Formel aus Quelle. ENG.Proc.Const (EPC) = "Equipment+Installation+Process Contingencies+indirect Costs". (95% O</t>
    </r>
    <r>
      <rPr>
        <vertAlign val="subscript"/>
        <sz val="10"/>
        <rFont val="Arial"/>
        <family val="2"/>
      </rPr>
      <t>2</t>
    </r>
    <r>
      <rPr>
        <sz val="10"/>
        <rFont val="Arial"/>
        <family val="2"/>
      </rPr>
      <t xml:space="preserve"> Reinheit und 1,5 bar, bei 31 t O</t>
    </r>
    <r>
      <rPr>
        <vertAlign val="subscript"/>
        <sz val="10"/>
        <rFont val="Arial"/>
        <family val="2"/>
      </rPr>
      <t>2</t>
    </r>
    <r>
      <rPr>
        <sz val="10"/>
        <rFont val="Arial"/>
        <family val="2"/>
      </rPr>
      <t>/h)</t>
    </r>
  </si>
  <si>
    <r>
      <t>Nur "equipment costs" (Reinheitsgrad O</t>
    </r>
    <r>
      <rPr>
        <vertAlign val="subscript"/>
        <sz val="10"/>
        <color theme="1"/>
        <rFont val="Arial"/>
        <family val="2"/>
      </rPr>
      <t>2</t>
    </r>
    <r>
      <rPr>
        <sz val="10"/>
        <color theme="1"/>
        <rFont val="Arial"/>
        <family val="2"/>
      </rPr>
      <t>: 95% )</t>
    </r>
  </si>
  <si>
    <r>
      <t>Emissionsfaktor biogen 
(kgCO</t>
    </r>
    <r>
      <rPr>
        <b/>
        <vertAlign val="subscript"/>
        <sz val="10"/>
        <color theme="1"/>
        <rFont val="Arial"/>
        <family val="2"/>
      </rPr>
      <t>2</t>
    </r>
    <r>
      <rPr>
        <b/>
        <sz val="10"/>
        <color theme="1"/>
        <rFont val="Arial"/>
        <family val="2"/>
      </rPr>
      <t>/GJ)</t>
    </r>
  </si>
  <si>
    <r>
      <t>Strombedarf CO</t>
    </r>
    <r>
      <rPr>
        <b/>
        <vertAlign val="subscript"/>
        <sz val="10"/>
        <rFont val="Arial"/>
        <family val="2"/>
      </rPr>
      <t>2</t>
    </r>
    <r>
      <rPr>
        <b/>
        <sz val="10"/>
        <rFont val="Arial"/>
        <family val="2"/>
      </rPr>
      <t>-Reinigung und -Kompression</t>
    </r>
  </si>
  <si>
    <r>
      <t>kWh/t CO</t>
    </r>
    <r>
      <rPr>
        <b/>
        <vertAlign val="subscript"/>
        <sz val="10"/>
        <color theme="1"/>
        <rFont val="Arial"/>
        <family val="2"/>
      </rPr>
      <t>2</t>
    </r>
  </si>
  <si>
    <r>
      <t>kWh/t CO</t>
    </r>
    <r>
      <rPr>
        <vertAlign val="subscript"/>
        <sz val="10"/>
        <color theme="1"/>
        <rFont val="Arial"/>
        <family val="2"/>
      </rPr>
      <t>2</t>
    </r>
  </si>
  <si>
    <r>
      <t>Strombedarf gesamt 
(ohne CO</t>
    </r>
    <r>
      <rPr>
        <b/>
        <vertAlign val="subscript"/>
        <sz val="10"/>
        <rFont val="Arial"/>
        <family val="2"/>
      </rPr>
      <t>2</t>
    </r>
    <r>
      <rPr>
        <b/>
        <sz val="10"/>
        <rFont val="Arial"/>
        <family val="2"/>
      </rPr>
      <t>-Reinigung und -Kompression)</t>
    </r>
  </si>
  <si>
    <r>
      <t>Proxy: partielles Oxyfuel (nur am Kalzinator -&gt; ähnlicher CO</t>
    </r>
    <r>
      <rPr>
        <vertAlign val="subscript"/>
        <sz val="10"/>
        <color theme="1"/>
        <rFont val="Arial"/>
        <family val="2"/>
      </rPr>
      <t>2</t>
    </r>
    <r>
      <rPr>
        <sz val="10"/>
        <color theme="1"/>
        <rFont val="Arial"/>
        <family val="2"/>
      </rPr>
      <t>-Strom wie LEILAC). 50 kWh/t Zement für CO</t>
    </r>
    <r>
      <rPr>
        <vertAlign val="subscript"/>
        <sz val="10"/>
        <color theme="1"/>
        <rFont val="Arial"/>
        <family val="2"/>
      </rPr>
      <t>2</t>
    </r>
    <r>
      <rPr>
        <sz val="10"/>
        <color theme="1"/>
        <rFont val="Arial"/>
        <family val="2"/>
      </rPr>
      <t>-Reinigung und -Kompression. Umgerechnet mit Abscheiderate 70%, Klinkerfaktor 0,72 und spezifischen Emissionen von 0,83 t CO</t>
    </r>
    <r>
      <rPr>
        <vertAlign val="subscript"/>
        <sz val="10"/>
        <color theme="1"/>
        <rFont val="Arial"/>
        <family val="2"/>
      </rPr>
      <t>2</t>
    </r>
    <r>
      <rPr>
        <sz val="10"/>
        <color theme="1"/>
        <rFont val="Arial"/>
        <family val="2"/>
      </rPr>
      <t>/t Klinker)</t>
    </r>
  </si>
  <si>
    <r>
      <t>CO</t>
    </r>
    <r>
      <rPr>
        <vertAlign val="subscript"/>
        <sz val="10"/>
        <color theme="1"/>
        <rFont val="Arial"/>
        <family val="2"/>
      </rPr>
      <t>2</t>
    </r>
    <r>
      <rPr>
        <sz val="10"/>
        <color theme="1"/>
        <rFont val="Arial"/>
        <family val="2"/>
      </rPr>
      <t xml:space="preserve"> aus Entsäuerung Kalkstein; Wert ergibt sich aus CO</t>
    </r>
    <r>
      <rPr>
        <vertAlign val="subscript"/>
        <sz val="10"/>
        <color theme="1"/>
        <rFont val="Arial"/>
        <family val="2"/>
      </rPr>
      <t>2</t>
    </r>
    <r>
      <rPr>
        <sz val="10"/>
        <color theme="1"/>
        <rFont val="Arial"/>
        <family val="2"/>
      </rPr>
      <t>-Mengen und Abscheiderate</t>
    </r>
  </si>
  <si>
    <r>
      <t>Inkl. Restemissionen von CO</t>
    </r>
    <r>
      <rPr>
        <vertAlign val="subscript"/>
        <sz val="10"/>
        <color theme="1"/>
        <rFont val="Arial"/>
        <family val="2"/>
      </rPr>
      <t>2</t>
    </r>
    <r>
      <rPr>
        <sz val="10"/>
        <color theme="1"/>
        <rFont val="Arial"/>
        <family val="2"/>
      </rPr>
      <t xml:space="preserve"> aus Entsäuerung Kalkstein, die nicht aufgefangen werden; Wert ergibt sich aus CO</t>
    </r>
    <r>
      <rPr>
        <vertAlign val="subscript"/>
        <sz val="10"/>
        <color theme="1"/>
        <rFont val="Arial"/>
        <family val="2"/>
      </rPr>
      <t>2</t>
    </r>
    <r>
      <rPr>
        <sz val="10"/>
        <color theme="1"/>
        <rFont val="Arial"/>
        <family val="2"/>
      </rPr>
      <t>-Mengen und Abscheiderate</t>
    </r>
  </si>
  <si>
    <r>
      <t>Inkl. LEILAC-Kalzinator u. Anlagen für CO</t>
    </r>
    <r>
      <rPr>
        <vertAlign val="subscript"/>
        <sz val="10"/>
        <color theme="1"/>
        <rFont val="Arial"/>
        <family val="2"/>
      </rPr>
      <t>2</t>
    </r>
    <r>
      <rPr>
        <sz val="10"/>
        <color theme="1"/>
        <rFont val="Arial"/>
        <family val="2"/>
      </rPr>
      <t>-Reinigung und -Kompression</t>
    </r>
  </si>
  <si>
    <r>
      <t>Eigene Schätzung (Keine großen Abweichungen von Referenz erwartet. Pauschaler Aufschlag von 10% für zusätzliches Aggreat CO</t>
    </r>
    <r>
      <rPr>
        <vertAlign val="subscript"/>
        <sz val="10"/>
        <rFont val="Arial"/>
        <family val="2"/>
      </rPr>
      <t>2</t>
    </r>
    <r>
      <rPr>
        <sz val="10"/>
        <rFont val="Arial"/>
        <family val="2"/>
      </rPr>
      <t>-Reinigungs- und -Kompressionsanlage).</t>
    </r>
  </si>
  <si>
    <r>
      <t>€/t O</t>
    </r>
    <r>
      <rPr>
        <vertAlign val="subscript"/>
        <sz val="10"/>
        <color theme="1"/>
        <rFont val="Arial"/>
        <family val="2"/>
      </rPr>
      <t>2</t>
    </r>
  </si>
  <si>
    <r>
      <t>€/tCO</t>
    </r>
    <r>
      <rPr>
        <vertAlign val="subscript"/>
        <sz val="10"/>
        <rFont val="Arial"/>
        <family val="2"/>
      </rPr>
      <t>2</t>
    </r>
  </si>
  <si>
    <r>
      <t>€_2013/tCO</t>
    </r>
    <r>
      <rPr>
        <vertAlign val="subscript"/>
        <sz val="10"/>
        <color theme="1"/>
        <rFont val="Arial"/>
        <family val="2"/>
      </rPr>
      <t>2</t>
    </r>
  </si>
  <si>
    <r>
      <t>€_2009/tCO</t>
    </r>
    <r>
      <rPr>
        <vertAlign val="subscript"/>
        <sz val="10"/>
        <color theme="1"/>
        <rFont val="Arial"/>
        <family val="2"/>
      </rPr>
      <t>2</t>
    </r>
  </si>
  <si>
    <t>EUA/t Grauzementklinker</t>
  </si>
  <si>
    <r>
      <t>Für die Umstellung der Zementklinkererzeugung in einem klassischen Zementwerk mit einem modernen Drehrohrofen und Kalzinator ohne CO</t>
    </r>
    <r>
      <rPr>
        <vertAlign val="subscript"/>
        <sz val="10"/>
        <rFont val="Arial"/>
        <family val="2"/>
      </rPr>
      <t>2</t>
    </r>
    <r>
      <rPr>
        <sz val="10"/>
        <rFont val="Arial"/>
        <family val="2"/>
      </rPr>
      <t>-Abscheidung eignen sich insbesondere das Oxyfuel- oder das elektrifizierte LEILAC-Verfahren mit CO</t>
    </r>
    <r>
      <rPr>
        <vertAlign val="subscript"/>
        <sz val="10"/>
        <rFont val="Arial"/>
        <family val="2"/>
      </rPr>
      <t>2</t>
    </r>
    <r>
      <rPr>
        <sz val="10"/>
        <rFont val="Arial"/>
        <family val="2"/>
      </rPr>
      <t xml:space="preserve">-Abscheidung aufgrund ihrer hohen Abscheideraten und Kosteneffizienz. Voraussetzung ist in beiden Fällen eine etablierte CCS-Infrastruktur. Um diese Investitionen dennoch anzureizen, müssen diese Mehrkosten quantifiziert und durch geeignete Politikinstrumente abgesichert werden. </t>
    </r>
  </si>
  <si>
    <t>Greenfield</t>
  </si>
  <si>
    <t>Paul Münnich</t>
  </si>
  <si>
    <r>
      <t xml:space="preserve">
■ Die Identifikation und allgemeingültige Quantifizierung der wesentlichen Kostentreiber für die Transformation einer typischen Zementproduktion auf der Basis der spezifischen CO</t>
    </r>
    <r>
      <rPr>
        <vertAlign val="subscript"/>
        <sz val="10"/>
        <rFont val="Arial"/>
        <family val="2"/>
      </rPr>
      <t>2</t>
    </r>
    <r>
      <rPr>
        <sz val="10"/>
        <rFont val="Arial"/>
        <family val="2"/>
      </rPr>
      <t xml:space="preserve">-Minderungskosten.
■ Die Definition eines Werkzeuges mit dem eine erste Einschätzung und Diskussion von spezifischen Projekten, gegebenenfalls als erster Schritt zur Vergabe von Klimaschutzverträgen, möglich wird. 
■ Das Schaffen einer transparenten Grundlage für die Diskussion über Kosten und Nutzen der Transformation der Zementindustrie und der übergeordneten Infrastruktur. 
■ Das Schaffen einer Grundlage zur Abschätzung des gesamten Investitions- und Finanzierungsbedarfs für die Transformation des Zementsektors zur Klimaneutralität.
</t>
    </r>
  </si>
  <si>
    <t>Dieser Transformationskostenrechner wurde einer ersten Konsultation unterzogen. Wir freuen uns jedoch auch weiterhin über Empfehlungen oder Kommentare zur Darstellung, Handhabung und Kohärenz der Darstellungen. 
Bitte senden Sie Ihre Beiträge an info@agora-industrie.de
Vielen Dank für Ihre Unterstützung!</t>
  </si>
  <si>
    <t>Kostenfreie Zuteilung Grauzementklinker</t>
  </si>
  <si>
    <t>Handeingabe
(in Rechner)</t>
  </si>
  <si>
    <r>
      <rPr>
        <b/>
        <sz val="10"/>
        <color theme="1"/>
        <rFont val="Arial"/>
        <family val="2"/>
      </rPr>
      <t xml:space="preserve">Erläuterung: </t>
    </r>
    <r>
      <rPr>
        <sz val="10"/>
        <color theme="1"/>
        <rFont val="Arial"/>
        <family val="2"/>
      </rPr>
      <t>Darstellung der relevanten Kostenblöcke bezogen auf die CO</t>
    </r>
    <r>
      <rPr>
        <vertAlign val="subscript"/>
        <sz val="10"/>
        <color theme="1"/>
        <rFont val="Arial"/>
        <family val="2"/>
      </rPr>
      <t>2</t>
    </r>
    <r>
      <rPr>
        <sz val="10"/>
        <color theme="1"/>
        <rFont val="Arial"/>
        <family val="2"/>
      </rPr>
      <t>-Minderung gegenüber der Bestandsanlage. Der Effekt der freien Zuteilungen ist nicht berücksichtigt. Über die Auswahl kann bestimmt werden ob nur CO</t>
    </r>
    <r>
      <rPr>
        <vertAlign val="subscript"/>
        <sz val="10"/>
        <color theme="1"/>
        <rFont val="Arial"/>
        <family val="2"/>
      </rPr>
      <t>2</t>
    </r>
    <r>
      <rPr>
        <sz val="10"/>
        <color theme="1"/>
        <rFont val="Arial"/>
        <family val="2"/>
      </rPr>
      <t>-Minderungen, oder auch CO</t>
    </r>
    <r>
      <rPr>
        <vertAlign val="subscript"/>
        <sz val="10"/>
        <color theme="1"/>
        <rFont val="Arial"/>
        <family val="2"/>
      </rPr>
      <t>2</t>
    </r>
    <r>
      <rPr>
        <sz val="10"/>
        <color theme="1"/>
        <rFont val="Arial"/>
        <family val="2"/>
      </rPr>
      <t>-Senkeneffekte in betrachtet werden.  Der Brennstoffmix und seine Auswirkungen auf die CO</t>
    </r>
    <r>
      <rPr>
        <vertAlign val="subscript"/>
        <sz val="10"/>
        <color theme="1"/>
        <rFont val="Arial"/>
        <family val="2"/>
      </rPr>
      <t>2</t>
    </r>
    <r>
      <rPr>
        <sz val="10"/>
        <color theme="1"/>
        <rFont val="Arial"/>
        <family val="2"/>
      </rPr>
      <t xml:space="preserve">-Senkeneffekte kann über die Auswahl in Abbildung 2b variiert werden. </t>
    </r>
  </si>
  <si>
    <t xml:space="preserve">Agora Industrie, FutureCamp, Wuppertal Institut (2022): </t>
  </si>
  <si>
    <t>www.agora-industrie.de</t>
  </si>
  <si>
    <t>Agora Industrie</t>
  </si>
  <si>
    <t xml:space="preserve">© Agora Industrie, FutureCamp Climate und Wuppertal Institut. Alle Rechte vorbehalten. </t>
  </si>
  <si>
    <t>info@agora-industrie.de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</si>
</sst>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1" formatCode="_-* #,##0_-;\-* #,##0_-;_-* &quot;-&quot;_-;_-@_-"/>
    <numFmt numFmtId="43" formatCode="_-* #,##0.00_-;\-* #,##0.00_-;_-* &quot;-&quot;??_-;_-@_-"/>
    <numFmt numFmtId="164" formatCode="_(* #,##0_);_(* \(#,##0\);_(* &quot;-&quot;_);_(@_)"/>
    <numFmt numFmtId="165" formatCode="_(&quot;$&quot;* #,##0_);_(&quot;$&quot;* \(#,##0\);_(&quot;$&quot;* &quot;-&quot;_);_(@_)"/>
    <numFmt numFmtId="166" formatCode="0.0"/>
    <numFmt numFmtId="167" formatCode="#,##0.000"/>
    <numFmt numFmtId="168" formatCode="0.000"/>
    <numFmt numFmtId="169" formatCode="0.00000"/>
    <numFmt numFmtId="170" formatCode="0.0000"/>
  </numFmts>
  <fonts count="82">
    <font>
      <sz val="11"/>
      <color theme="1"/>
      <name val="Arial"/>
      <family val="2"/>
      <scheme val="minor"/>
    </font>
    <font>
      <sz val="10"/>
      <color theme="1"/>
      <name val="Arial"/>
      <family val="2"/>
    </font>
    <font>
      <sz val="11"/>
      <color theme="1"/>
      <name val="Arial"/>
      <family val="2"/>
      <scheme val="minor"/>
    </font>
    <font>
      <b/>
      <sz val="10"/>
      <color theme="1"/>
      <name val="Arial"/>
      <family val="2"/>
    </font>
    <font>
      <sz val="10"/>
      <name val="Arial"/>
      <family val="2"/>
    </font>
    <font>
      <sz val="11"/>
      <color indexed="8"/>
      <name val="Calibri"/>
      <family val="2"/>
    </font>
    <font>
      <sz val="9"/>
      <name val="Times New Roman"/>
      <family val="1"/>
    </font>
    <font>
      <sz val="11"/>
      <color indexed="9"/>
      <name val="Calibri"/>
      <family val="2"/>
    </font>
    <font>
      <b/>
      <sz val="11"/>
      <color indexed="63"/>
      <name val="Calibri"/>
      <family val="2"/>
    </font>
    <font>
      <b/>
      <sz val="11"/>
      <color indexed="52"/>
      <name val="Calibri"/>
      <family val="2"/>
    </font>
    <font>
      <b/>
      <sz val="9"/>
      <name val="Times New Roman"/>
      <family val="1"/>
    </font>
    <font>
      <sz val="10"/>
      <name val="Helv"/>
    </font>
    <font>
      <sz val="11"/>
      <color indexed="62"/>
      <name val="Calibri"/>
      <family val="2"/>
    </font>
    <font>
      <b/>
      <sz val="11"/>
      <color indexed="8"/>
      <name val="Calibri"/>
      <family val="2"/>
    </font>
    <font>
      <i/>
      <sz val="11"/>
      <color indexed="23"/>
      <name val="Calibri"/>
      <family val="2"/>
    </font>
    <font>
      <sz val="11"/>
      <color indexed="17"/>
      <name val="Calibri"/>
      <family val="2"/>
    </font>
    <font>
      <sz val="11"/>
      <color indexed="60"/>
      <name val="Calibri"/>
      <family val="2"/>
    </font>
    <font>
      <sz val="8"/>
      <name val="Helvetica"/>
      <family val="2"/>
    </font>
    <font>
      <b/>
      <sz val="12"/>
      <name val="NewCenturySchlbk"/>
      <family val="1"/>
    </font>
    <font>
      <sz val="11"/>
      <color indexed="20"/>
      <name val="Calibri"/>
      <family val="2"/>
    </font>
    <font>
      <b/>
      <sz val="12"/>
      <name val="NewCenturySchlbk"/>
    </font>
    <font>
      <b/>
      <sz val="15"/>
      <color indexed="56"/>
      <name val="Calibri"/>
      <family val="2"/>
    </font>
    <font>
      <b/>
      <sz val="13"/>
      <color indexed="56"/>
      <name val="Calibri"/>
      <family val="2"/>
    </font>
    <font>
      <b/>
      <sz val="11"/>
      <color indexed="56"/>
      <name val="Calibri"/>
      <family val="2"/>
    </font>
    <font>
      <b/>
      <sz val="18"/>
      <color indexed="56"/>
      <name val="Cambria"/>
      <family val="2"/>
    </font>
    <font>
      <sz val="11"/>
      <color indexed="52"/>
      <name val="Calibri"/>
      <family val="2"/>
    </font>
    <font>
      <sz val="11"/>
      <color indexed="10"/>
      <name val="Calibri"/>
      <family val="2"/>
    </font>
    <font>
      <b/>
      <sz val="11"/>
      <color indexed="9"/>
      <name val="Calibri"/>
      <family val="2"/>
    </font>
    <font>
      <sz val="8"/>
      <name val="Arial"/>
      <family val="2"/>
      <scheme val="minor"/>
    </font>
    <font>
      <sz val="10"/>
      <color rgb="FF323232"/>
      <name val="Arial"/>
      <family val="2"/>
    </font>
    <font>
      <b/>
      <sz val="12"/>
      <color theme="1"/>
      <name val="Arial"/>
      <family val="2"/>
    </font>
    <font>
      <b/>
      <i/>
      <sz val="10"/>
      <color theme="1"/>
      <name val="Arial"/>
      <family val="2"/>
    </font>
    <font>
      <u/>
      <sz val="11"/>
      <color theme="10"/>
      <name val="Arial"/>
      <family val="2"/>
      <scheme val="minor"/>
    </font>
    <font>
      <u/>
      <sz val="11"/>
      <color theme="11"/>
      <name val="Arial"/>
      <family val="2"/>
      <scheme val="minor"/>
    </font>
    <font>
      <b/>
      <i/>
      <u/>
      <sz val="10"/>
      <color theme="1"/>
      <name val="Arial"/>
      <family val="2"/>
    </font>
    <font>
      <u/>
      <sz val="10"/>
      <color theme="1"/>
      <name val="Arial"/>
      <family val="2"/>
    </font>
    <font>
      <sz val="10"/>
      <color rgb="FFC00000"/>
      <name val="Arial"/>
      <family val="2"/>
    </font>
    <font>
      <sz val="10"/>
      <color rgb="FFFF0000"/>
      <name val="Arial"/>
      <family val="2"/>
    </font>
    <font>
      <b/>
      <sz val="10"/>
      <name val="Arial"/>
      <family val="2"/>
    </font>
    <font>
      <sz val="10"/>
      <color theme="1" tint="0.249977111117893"/>
      <name val="Arial"/>
      <family val="2"/>
    </font>
    <font>
      <sz val="10"/>
      <color theme="1" tint="0.499984740745262"/>
      <name val="Arial"/>
      <family val="2"/>
    </font>
    <font>
      <i/>
      <sz val="10"/>
      <color theme="1"/>
      <name val="Arial"/>
      <family val="2"/>
    </font>
    <font>
      <b/>
      <sz val="10"/>
      <color theme="0"/>
      <name val="Arial"/>
      <family val="2"/>
    </font>
    <font>
      <sz val="12"/>
      <color theme="1"/>
      <name val="Arial"/>
      <family val="2"/>
      <scheme val="minor"/>
    </font>
    <font>
      <u/>
      <sz val="10"/>
      <color theme="10"/>
      <name val="Arial"/>
      <family val="2"/>
    </font>
    <font>
      <u/>
      <sz val="10"/>
      <color indexed="12"/>
      <name val="Arial"/>
      <family val="2"/>
    </font>
    <font>
      <b/>
      <sz val="14"/>
      <color rgb="FF617494"/>
      <name val="Arial"/>
      <family val="2"/>
      <scheme val="minor"/>
    </font>
    <font>
      <sz val="10"/>
      <color theme="0"/>
      <name val="Arial"/>
      <family val="2"/>
    </font>
    <font>
      <sz val="10"/>
      <color theme="1"/>
      <name val="Arial"/>
      <family val="2"/>
      <scheme val="minor"/>
    </font>
    <font>
      <b/>
      <sz val="10"/>
      <color indexed="56"/>
      <name val="Calibri"/>
      <family val="2"/>
    </font>
    <font>
      <u/>
      <sz val="10"/>
      <color theme="10"/>
      <name val="Arial"/>
      <family val="2"/>
      <scheme val="minor"/>
    </font>
    <font>
      <sz val="10"/>
      <color rgb="FF617494"/>
      <name val="Arial"/>
      <family val="2"/>
      <scheme val="minor"/>
    </font>
    <font>
      <b/>
      <sz val="10"/>
      <color rgb="FF617494"/>
      <name val="Calibri"/>
      <family val="2"/>
    </font>
    <font>
      <sz val="11"/>
      <color rgb="FF617494"/>
      <name val="Arial"/>
      <family val="2"/>
      <scheme val="minor"/>
    </font>
    <font>
      <b/>
      <sz val="11"/>
      <color rgb="FF617494"/>
      <name val="Calibri"/>
      <family val="2"/>
    </font>
    <font>
      <b/>
      <sz val="14"/>
      <color rgb="FF617494"/>
      <name val="Arial"/>
      <family val="2"/>
    </font>
    <font>
      <b/>
      <sz val="14"/>
      <color rgb="FF617494"/>
      <name val="Calibri"/>
      <family val="2"/>
    </font>
    <font>
      <b/>
      <sz val="12"/>
      <color rgb="FF617494"/>
      <name val="Arial"/>
      <family val="2"/>
    </font>
    <font>
      <sz val="10"/>
      <color rgb="FFFF0000"/>
      <name val="Arial"/>
      <family val="2"/>
      <scheme val="minor"/>
    </font>
    <font>
      <sz val="10"/>
      <name val="Arial"/>
      <family val="2"/>
      <scheme val="minor"/>
    </font>
    <font>
      <b/>
      <u/>
      <sz val="10"/>
      <color theme="1"/>
      <name val="Arial"/>
      <family val="2"/>
    </font>
    <font>
      <b/>
      <sz val="10"/>
      <color theme="1"/>
      <name val="Arial"/>
      <family val="2"/>
      <scheme val="minor"/>
    </font>
    <font>
      <b/>
      <vertAlign val="subscript"/>
      <sz val="14"/>
      <color rgb="FF617494"/>
      <name val="Arial"/>
      <family val="2"/>
    </font>
    <font>
      <vertAlign val="subscript"/>
      <sz val="10"/>
      <color theme="1"/>
      <name val="Arial"/>
      <family val="2"/>
    </font>
    <font>
      <sz val="10"/>
      <color rgb="FF00B050"/>
      <name val="Arial"/>
      <family val="2"/>
    </font>
    <font>
      <b/>
      <sz val="10"/>
      <color rgb="FF00B050"/>
      <name val="Arial"/>
      <family val="2"/>
    </font>
    <font>
      <b/>
      <sz val="10"/>
      <name val="Arial"/>
      <family val="2"/>
      <scheme val="minor"/>
    </font>
    <font>
      <b/>
      <sz val="10"/>
      <color rgb="FFFF0000"/>
      <name val="Arial"/>
      <family val="2"/>
    </font>
    <font>
      <u/>
      <sz val="10"/>
      <name val="Arial"/>
      <family val="2"/>
    </font>
    <font>
      <u/>
      <sz val="10"/>
      <color rgb="FFFF0000"/>
      <name val="Arial"/>
      <family val="2"/>
      <scheme val="minor"/>
    </font>
    <font>
      <b/>
      <sz val="10"/>
      <color rgb="FFFF0000"/>
      <name val="Calibri"/>
      <family val="2"/>
    </font>
    <font>
      <u/>
      <sz val="11"/>
      <name val="Arial"/>
      <family val="2"/>
      <scheme val="minor"/>
    </font>
    <font>
      <u/>
      <sz val="10"/>
      <name val="Arial"/>
      <family val="2"/>
      <scheme val="minor"/>
    </font>
    <font>
      <b/>
      <sz val="10"/>
      <name val="Calibri"/>
      <family val="2"/>
    </font>
    <font>
      <sz val="10"/>
      <color rgb="FF000000"/>
      <name val="Arial"/>
      <family val="2"/>
    </font>
    <font>
      <vertAlign val="subscript"/>
      <sz val="10"/>
      <name val="Arial"/>
      <family val="2"/>
    </font>
    <font>
      <sz val="11"/>
      <color rgb="FFFF0000"/>
      <name val="Arial"/>
      <family val="2"/>
      <scheme val="minor"/>
    </font>
    <font>
      <b/>
      <sz val="11"/>
      <color theme="1"/>
      <name val="Arial"/>
      <family val="2"/>
      <scheme val="minor"/>
    </font>
    <font>
      <i/>
      <sz val="11"/>
      <color theme="1"/>
      <name val="Arial"/>
      <family val="2"/>
      <scheme val="minor"/>
    </font>
    <font>
      <sz val="10"/>
      <color theme="3" tint="0.249977111117893"/>
      <name val="Arial"/>
      <family val="2"/>
    </font>
    <font>
      <b/>
      <vertAlign val="subscript"/>
      <sz val="10"/>
      <color theme="1"/>
      <name val="Arial"/>
      <family val="2"/>
    </font>
    <font>
      <b/>
      <vertAlign val="subscript"/>
      <sz val="10"/>
      <name val="Arial"/>
      <family val="2"/>
    </font>
  </fonts>
  <fills count="4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43"/>
      </patternFill>
    </fill>
    <fill>
      <patternFill patternType="solid">
        <fgColor indexed="22"/>
        <bgColor indexed="64"/>
      </patternFill>
    </fill>
    <fill>
      <patternFill patternType="solid">
        <fgColor indexed="26"/>
      </patternFill>
    </fill>
    <fill>
      <patternFill patternType="solid">
        <fgColor indexed="55"/>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6" tint="0.59999389629810485"/>
        <bgColor indexed="64"/>
      </patternFill>
    </fill>
    <fill>
      <patternFill patternType="solid">
        <fgColor theme="0"/>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rgb="FF617494"/>
        <bgColor indexed="64"/>
      </patternFill>
    </fill>
    <fill>
      <patternFill patternType="solid">
        <fgColor rgb="FFFFFF00"/>
        <bgColor indexed="64"/>
      </patternFill>
    </fill>
    <fill>
      <patternFill patternType="solid">
        <fgColor rgb="FFFFFFFF"/>
        <bgColor indexed="64"/>
      </patternFill>
    </fill>
    <fill>
      <patternFill patternType="solid">
        <fgColor rgb="FF92D050"/>
        <bgColor indexed="64"/>
      </patternFill>
    </fill>
    <fill>
      <patternFill patternType="solid">
        <fgColor rgb="FFFFFFFF"/>
        <bgColor rgb="FF000000"/>
      </patternFill>
    </fill>
    <fill>
      <patternFill patternType="solid">
        <fgColor theme="8"/>
        <bgColor indexed="64"/>
      </patternFill>
    </fill>
    <fill>
      <patternFill patternType="solid">
        <fgColor rgb="FF00B050"/>
        <bgColor indexed="64"/>
      </patternFill>
    </fill>
  </fills>
  <borders count="50">
    <border>
      <left/>
      <right/>
      <top/>
      <bottom/>
      <diagonal/>
    </border>
    <border>
      <left style="thin">
        <color auto="1"/>
      </left>
      <right style="thin">
        <color auto="1"/>
      </right>
      <top style="thin">
        <color auto="1"/>
      </top>
      <bottom style="thin">
        <color auto="1"/>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n">
        <color auto="1"/>
      </left>
      <right style="thin">
        <color auto="1"/>
      </right>
      <top/>
      <bottom style="thin">
        <color auto="1"/>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n">
        <color auto="1"/>
      </bottom>
      <diagonal/>
    </border>
    <border>
      <left/>
      <right/>
      <top style="thin">
        <color auto="1"/>
      </top>
      <bottom/>
      <diagonal/>
    </border>
    <border>
      <left style="thin">
        <color auto="1"/>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rgb="FF617494"/>
      </top>
      <bottom/>
      <diagonal/>
    </border>
    <border>
      <left/>
      <right/>
      <top/>
      <bottom style="thin">
        <color rgb="FF617494"/>
      </bottom>
      <diagonal/>
    </border>
    <border>
      <left/>
      <right/>
      <top style="thin">
        <color rgb="FF617494"/>
      </top>
      <bottom style="thin">
        <color rgb="FF61749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style="thin">
        <color auto="1"/>
      </top>
      <bottom/>
      <diagonal/>
    </border>
    <border>
      <left style="thin">
        <color auto="1"/>
      </left>
      <right style="thin">
        <color auto="1"/>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style="double">
        <color indexed="64"/>
      </bottom>
      <diagonal/>
    </border>
    <border>
      <left/>
      <right/>
      <top/>
      <bottom style="double">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439">
    <xf numFmtId="0" fontId="0" fillId="0" borderId="0"/>
    <xf numFmtId="0" fontId="2" fillId="0" borderId="0"/>
    <xf numFmtId="9" fontId="4" fillId="0" borderId="0" applyFont="0" applyFill="0" applyBorder="0" applyAlignment="0" applyProtection="0"/>
    <xf numFmtId="0" fontId="5" fillId="2"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49" fontId="6" fillId="0" borderId="1" applyNumberFormat="0" applyFont="0" applyFill="0" applyBorder="0" applyProtection="0">
      <alignment horizontal="left" vertical="center" indent="2"/>
    </xf>
    <xf numFmtId="0" fontId="5" fillId="8"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8" borderId="0" applyNumberFormat="0" applyBorder="0" applyAlignment="0" applyProtection="0"/>
    <xf numFmtId="0" fontId="5" fillId="11" borderId="0" applyNumberFormat="0" applyBorder="0" applyAlignment="0" applyProtection="0"/>
    <xf numFmtId="0" fontId="7" fillId="12"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7" fillId="17" borderId="0" applyNumberFormat="0" applyBorder="0" applyAlignment="0" applyProtection="0"/>
    <xf numFmtId="0" fontId="7" fillId="18"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9" borderId="0" applyNumberFormat="0" applyBorder="0" applyAlignment="0" applyProtection="0"/>
    <xf numFmtId="0" fontId="8" fillId="20" borderId="2" applyNumberFormat="0" applyAlignment="0" applyProtection="0"/>
    <xf numFmtId="0" fontId="9" fillId="20" borderId="3" applyNumberFormat="0" applyAlignment="0" applyProtection="0"/>
    <xf numFmtId="4" fontId="10" fillId="0" borderId="4" applyFill="0" applyBorder="0" applyProtection="0">
      <alignment horizontal="right" vertical="center"/>
    </xf>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4" fontId="11" fillId="0" borderId="0" applyFont="0" applyFill="0" applyBorder="0" applyAlignment="0" applyProtection="0"/>
    <xf numFmtId="0" fontId="12" fillId="7" borderId="3" applyNumberFormat="0" applyAlignment="0" applyProtection="0"/>
    <xf numFmtId="0" fontId="13" fillId="0" borderId="5" applyNumberFormat="0" applyFill="0" applyAlignment="0" applyProtection="0"/>
    <xf numFmtId="0" fontId="14" fillId="0" borderId="0" applyNumberFormat="0" applyFill="0" applyBorder="0" applyAlignment="0" applyProtection="0"/>
    <xf numFmtId="0" fontId="15" fillId="4" borderId="0" applyNumberFormat="0" applyBorder="0" applyAlignment="0" applyProtection="0"/>
    <xf numFmtId="0" fontId="4" fillId="0" borderId="0" applyNumberFormat="0" applyFill="0" applyBorder="0" applyAlignment="0" applyProtection="0">
      <alignment vertical="top"/>
      <protection locked="0"/>
    </xf>
    <xf numFmtId="0" fontId="4" fillId="0" borderId="0" applyNumberFormat="0" applyFill="0" applyBorder="0" applyAlignment="0" applyProtection="0">
      <alignment vertical="top"/>
      <protection locked="0"/>
    </xf>
    <xf numFmtId="4" fontId="11" fillId="0" borderId="0" applyFont="0" applyFill="0" applyBorder="0" applyAlignment="0" applyProtection="0"/>
    <xf numFmtId="0" fontId="16" fillId="21" borderId="0" applyNumberFormat="0" applyBorder="0" applyAlignment="0" applyProtection="0"/>
    <xf numFmtId="4" fontId="6" fillId="0" borderId="1" applyFill="0" applyBorder="0" applyProtection="0">
      <alignment horizontal="right" vertical="center"/>
    </xf>
    <xf numFmtId="0" fontId="17" fillId="22" borderId="0" applyNumberFormat="0" applyFont="0" applyBorder="0" applyAlignment="0" applyProtection="0"/>
    <xf numFmtId="0" fontId="18" fillId="23" borderId="6" applyNumberFormat="0" applyFont="0" applyAlignment="0" applyProtection="0"/>
    <xf numFmtId="9" fontId="2" fillId="0" borderId="0" applyFont="0" applyFill="0" applyBorder="0" applyAlignment="0" applyProtection="0"/>
    <xf numFmtId="0" fontId="19" fillId="3" borderId="0" applyNumberFormat="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0" fillId="0" borderId="0"/>
    <xf numFmtId="0" fontId="2" fillId="0" borderId="0"/>
    <xf numFmtId="0" fontId="2" fillId="0" borderId="0"/>
    <xf numFmtId="0" fontId="2" fillId="0" borderId="0"/>
    <xf numFmtId="0" fontId="2" fillId="0" borderId="0"/>
    <xf numFmtId="0" fontId="2" fillId="0" borderId="0"/>
    <xf numFmtId="0" fontId="2" fillId="0" borderId="0"/>
    <xf numFmtId="0" fontId="21" fillId="0" borderId="7" applyNumberFormat="0" applyFill="0" applyAlignment="0" applyProtection="0"/>
    <xf numFmtId="0" fontId="22" fillId="0" borderId="8" applyNumberFormat="0" applyFill="0" applyAlignment="0" applyProtection="0"/>
    <xf numFmtId="0" fontId="23" fillId="0" borderId="9" applyNumberFormat="0" applyFill="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5" fillId="0" borderId="10" applyNumberFormat="0" applyFill="0" applyAlignment="0" applyProtection="0"/>
    <xf numFmtId="0" fontId="26" fillId="0" borderId="0" applyNumberFormat="0" applyFill="0" applyBorder="0" applyAlignment="0" applyProtection="0"/>
    <xf numFmtId="0" fontId="27" fillId="24" borderId="11" applyNumberFormat="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43" fontId="2" fillId="0" borderId="0" applyFon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9" fontId="2" fillId="0" borderId="0" applyFon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43" fillId="0" borderId="0"/>
    <xf numFmtId="0" fontId="44" fillId="0" borderId="0" applyNumberFormat="0" applyFill="0" applyBorder="0" applyAlignment="0" applyProtection="0"/>
    <xf numFmtId="0" fontId="45" fillId="0" borderId="0" applyNumberFormat="0" applyFill="0" applyBorder="0" applyAlignment="0" applyProtection="0">
      <alignment vertical="top"/>
      <protection locked="0"/>
    </xf>
    <xf numFmtId="49" fontId="6" fillId="0" borderId="25" applyNumberFormat="0" applyFont="0" applyFill="0" applyBorder="0" applyProtection="0">
      <alignment horizontal="left" vertical="center" indent="2"/>
    </xf>
    <xf numFmtId="0" fontId="8" fillId="20" borderId="26" applyNumberFormat="0" applyAlignment="0" applyProtection="0"/>
    <xf numFmtId="0" fontId="9" fillId="20" borderId="27" applyNumberFormat="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0" fontId="12" fillId="7" borderId="27" applyNumberFormat="0" applyAlignment="0" applyProtection="0"/>
    <xf numFmtId="0" fontId="13" fillId="0" borderId="28" applyNumberFormat="0" applyFill="0" applyAlignment="0" applyProtection="0"/>
    <xf numFmtId="4" fontId="6" fillId="0" borderId="25" applyFill="0" applyBorder="0" applyProtection="0">
      <alignment horizontal="right" vertical="center"/>
    </xf>
    <xf numFmtId="0" fontId="18" fillId="23" borderId="29" applyNumberFormat="0" applyFont="0" applyAlignment="0" applyProtection="0"/>
    <xf numFmtId="43" fontId="2" fillId="0" borderId="0" applyFont="0" applyFill="0" applyBorder="0" applyAlignment="0" applyProtection="0"/>
  </cellStyleXfs>
  <cellXfs count="670">
    <xf numFmtId="0" fontId="0" fillId="0" borderId="0" xfId="0"/>
    <xf numFmtId="0" fontId="3" fillId="26" borderId="0" xfId="0" applyFont="1" applyFill="1" applyBorder="1"/>
    <xf numFmtId="2" fontId="1" fillId="26" borderId="0" xfId="0" applyNumberFormat="1" applyFont="1" applyFill="1" applyBorder="1"/>
    <xf numFmtId="0" fontId="1" fillId="25" borderId="0" xfId="0" applyFont="1" applyFill="1" applyBorder="1"/>
    <xf numFmtId="0" fontId="3" fillId="25" borderId="0" xfId="0" applyFont="1" applyFill="1" applyBorder="1"/>
    <xf numFmtId="2" fontId="1" fillId="25" borderId="0" xfId="0" applyNumberFormat="1" applyFont="1" applyFill="1" applyBorder="1"/>
    <xf numFmtId="0" fontId="2" fillId="28" borderId="0" xfId="69" applyFill="1" applyBorder="1" applyAlignment="1" applyProtection="1">
      <alignment vertical="center"/>
    </xf>
    <xf numFmtId="0" fontId="4" fillId="28" borderId="0" xfId="69" applyFont="1" applyFill="1" applyBorder="1" applyAlignment="1" applyProtection="1">
      <alignment vertical="center"/>
    </xf>
    <xf numFmtId="0" fontId="4" fillId="28" borderId="0" xfId="69" applyFont="1" applyFill="1" applyBorder="1" applyAlignment="1" applyProtection="1">
      <alignment horizontal="center" vertical="center"/>
    </xf>
    <xf numFmtId="3" fontId="44" fillId="28" borderId="0" xfId="425" applyNumberFormat="1" applyFill="1" applyBorder="1" applyAlignment="1" applyProtection="1">
      <alignment vertical="center"/>
    </xf>
    <xf numFmtId="49" fontId="4" fillId="28" borderId="0" xfId="69" quotePrefix="1" applyNumberFormat="1" applyFont="1" applyFill="1" applyBorder="1" applyAlignment="1" applyProtection="1">
      <alignment vertical="center"/>
    </xf>
    <xf numFmtId="14" fontId="4" fillId="28" borderId="0" xfId="69" applyNumberFormat="1" applyFont="1" applyFill="1" applyBorder="1" applyAlignment="1" applyProtection="1">
      <alignment vertical="center"/>
    </xf>
    <xf numFmtId="0" fontId="1" fillId="28" borderId="0" xfId="0" applyFont="1" applyFill="1"/>
    <xf numFmtId="0" fontId="1" fillId="25" borderId="0" xfId="0" applyFont="1" applyFill="1" applyBorder="1" applyAlignment="1">
      <alignment wrapText="1"/>
    </xf>
    <xf numFmtId="0" fontId="1" fillId="27" borderId="16" xfId="0" applyFont="1" applyFill="1" applyBorder="1" applyProtection="1">
      <protection locked="0"/>
    </xf>
    <xf numFmtId="0" fontId="1" fillId="32" borderId="20" xfId="0" applyFont="1" applyFill="1" applyBorder="1" applyProtection="1">
      <protection locked="0"/>
    </xf>
    <xf numFmtId="0" fontId="1" fillId="33" borderId="0" xfId="0" applyFont="1" applyFill="1"/>
    <xf numFmtId="0" fontId="43" fillId="28" borderId="0" xfId="424" applyFill="1" applyBorder="1"/>
    <xf numFmtId="0" fontId="2" fillId="28" borderId="0" xfId="69" applyFill="1" applyBorder="1" applyAlignment="1" applyProtection="1">
      <alignment horizontal="left" vertical="center" indent="1"/>
    </xf>
    <xf numFmtId="0" fontId="4" fillId="28" borderId="0" xfId="69" applyFont="1" applyFill="1" applyBorder="1" applyAlignment="1" applyProtection="1">
      <alignment horizontal="left" vertical="center" indent="1"/>
    </xf>
    <xf numFmtId="0" fontId="46" fillId="28" borderId="0" xfId="424" applyFont="1" applyFill="1" applyBorder="1"/>
    <xf numFmtId="0" fontId="2" fillId="28" borderId="21" xfId="69" applyFill="1" applyBorder="1" applyAlignment="1" applyProtection="1">
      <alignment horizontal="left" vertical="center" indent="1"/>
    </xf>
    <xf numFmtId="0" fontId="2" fillId="28" borderId="21" xfId="69" applyFill="1" applyBorder="1" applyAlignment="1" applyProtection="1">
      <alignment vertical="center"/>
    </xf>
    <xf numFmtId="0" fontId="4" fillId="28" borderId="21" xfId="69" applyFont="1" applyFill="1" applyBorder="1" applyAlignment="1" applyProtection="1">
      <alignment vertical="center"/>
    </xf>
    <xf numFmtId="0" fontId="1" fillId="33" borderId="0" xfId="0" applyFont="1" applyFill="1" applyBorder="1"/>
    <xf numFmtId="0" fontId="2" fillId="28" borderId="17" xfId="69" applyFill="1" applyBorder="1" applyAlignment="1" applyProtection="1">
      <alignment vertical="center"/>
    </xf>
    <xf numFmtId="0" fontId="43" fillId="28" borderId="0" xfId="424" applyFill="1" applyBorder="1" applyAlignment="1">
      <alignment wrapText="1"/>
    </xf>
    <xf numFmtId="0" fontId="31" fillId="28" borderId="0" xfId="424" applyFont="1" applyFill="1" applyBorder="1"/>
    <xf numFmtId="0" fontId="4" fillId="28" borderId="0" xfId="424" applyFont="1" applyFill="1" applyBorder="1" applyAlignment="1">
      <alignment horizontal="left" vertical="center" wrapText="1" readingOrder="1"/>
    </xf>
    <xf numFmtId="0" fontId="46" fillId="28" borderId="0" xfId="424" applyFont="1" applyFill="1" applyBorder="1" applyAlignment="1">
      <alignment wrapText="1"/>
    </xf>
    <xf numFmtId="0" fontId="43" fillId="28" borderId="21" xfId="424" applyFill="1" applyBorder="1" applyAlignment="1">
      <alignment wrapText="1"/>
    </xf>
    <xf numFmtId="3" fontId="1" fillId="28" borderId="0" xfId="0" applyNumberFormat="1" applyFont="1" applyFill="1"/>
    <xf numFmtId="1" fontId="1" fillId="28" borderId="0" xfId="0" applyNumberFormat="1" applyFont="1" applyFill="1"/>
    <xf numFmtId="168" fontId="1" fillId="28" borderId="0" xfId="0" applyNumberFormat="1" applyFont="1" applyFill="1"/>
    <xf numFmtId="2" fontId="1" fillId="28" borderId="0" xfId="0" applyNumberFormat="1" applyFont="1" applyFill="1"/>
    <xf numFmtId="0" fontId="1" fillId="34" borderId="0" xfId="0" applyFont="1" applyFill="1" applyBorder="1"/>
    <xf numFmtId="0" fontId="3" fillId="28" borderId="0" xfId="0" applyFont="1" applyFill="1"/>
    <xf numFmtId="0" fontId="3" fillId="33" borderId="0" xfId="0" applyFont="1" applyFill="1" applyBorder="1"/>
    <xf numFmtId="0" fontId="1" fillId="33" borderId="0" xfId="0" applyFont="1" applyFill="1" applyBorder="1" applyAlignment="1">
      <alignment horizontal="left" indent="1"/>
    </xf>
    <xf numFmtId="0" fontId="1" fillId="35" borderId="0" xfId="0" applyFont="1" applyFill="1"/>
    <xf numFmtId="0" fontId="1" fillId="35" borderId="0" xfId="0" applyFont="1" applyFill="1" applyAlignment="1">
      <alignment horizontal="left" vertical="top"/>
    </xf>
    <xf numFmtId="0" fontId="1" fillId="35" borderId="0" xfId="0" applyFont="1" applyFill="1" applyAlignment="1">
      <alignment wrapText="1"/>
    </xf>
    <xf numFmtId="0" fontId="55" fillId="0" borderId="0" xfId="0" applyFont="1"/>
    <xf numFmtId="0" fontId="55" fillId="35" borderId="0" xfId="0" applyFont="1" applyFill="1" applyBorder="1"/>
    <xf numFmtId="0" fontId="1" fillId="35" borderId="0" xfId="0" applyFont="1" applyFill="1" applyBorder="1" applyAlignment="1">
      <alignment horizontal="left" vertical="top"/>
    </xf>
    <xf numFmtId="0" fontId="1" fillId="35" borderId="0" xfId="0" applyFont="1" applyFill="1" applyBorder="1"/>
    <xf numFmtId="0" fontId="1" fillId="35" borderId="0" xfId="0" applyFont="1" applyFill="1" applyBorder="1" applyAlignment="1">
      <alignment wrapText="1"/>
    </xf>
    <xf numFmtId="0" fontId="1" fillId="28" borderId="21" xfId="0" applyFont="1" applyFill="1" applyBorder="1"/>
    <xf numFmtId="0" fontId="4" fillId="33" borderId="0" xfId="0" applyFont="1" applyFill="1" applyBorder="1" applyAlignment="1">
      <alignment horizontal="left" vertical="top"/>
    </xf>
    <xf numFmtId="0" fontId="1" fillId="33" borderId="0" xfId="0" applyFont="1" applyFill="1" applyBorder="1" applyAlignment="1">
      <alignment horizontal="left" vertical="top"/>
    </xf>
    <xf numFmtId="0" fontId="40" fillId="33" borderId="0" xfId="0" applyFont="1" applyFill="1" applyBorder="1" applyAlignment="1">
      <alignment horizontal="left" vertical="top"/>
    </xf>
    <xf numFmtId="0" fontId="51" fillId="28" borderId="0" xfId="0" applyFont="1" applyFill="1" applyBorder="1" applyAlignment="1">
      <alignment horizontal="left" vertical="top"/>
    </xf>
    <xf numFmtId="0" fontId="52" fillId="28" borderId="0" xfId="70" applyFont="1" applyFill="1" applyBorder="1" applyAlignment="1">
      <alignment horizontal="left" vertical="top"/>
    </xf>
    <xf numFmtId="0" fontId="52" fillId="28" borderId="0" xfId="70" applyFont="1" applyFill="1" applyBorder="1" applyAlignment="1">
      <alignment horizontal="left" vertical="top" wrapText="1"/>
    </xf>
    <xf numFmtId="0" fontId="51" fillId="33" borderId="0" xfId="0" applyFont="1" applyFill="1" applyBorder="1" applyAlignment="1">
      <alignment horizontal="left" vertical="top"/>
    </xf>
    <xf numFmtId="0" fontId="56" fillId="28" borderId="0" xfId="70" applyFont="1" applyFill="1" applyBorder="1" applyAlignment="1">
      <alignment horizontal="left" vertical="top"/>
    </xf>
    <xf numFmtId="0" fontId="48" fillId="28" borderId="0" xfId="0" applyFont="1" applyFill="1" applyBorder="1" applyAlignment="1">
      <alignment horizontal="left" vertical="top"/>
    </xf>
    <xf numFmtId="0" fontId="49" fillId="28" borderId="0" xfId="70" applyFont="1" applyFill="1" applyBorder="1" applyAlignment="1">
      <alignment horizontal="left" vertical="top"/>
    </xf>
    <xf numFmtId="0" fontId="49" fillId="28" borderId="0" xfId="70" applyFont="1" applyFill="1" applyBorder="1" applyAlignment="1">
      <alignment horizontal="left" vertical="top" wrapText="1"/>
    </xf>
    <xf numFmtId="0" fontId="48" fillId="33" borderId="0" xfId="0" applyFont="1" applyFill="1" applyBorder="1" applyAlignment="1">
      <alignment horizontal="left" vertical="top"/>
    </xf>
    <xf numFmtId="0" fontId="53" fillId="28" borderId="0" xfId="0" applyFont="1" applyFill="1" applyBorder="1" applyAlignment="1">
      <alignment horizontal="left" vertical="top"/>
    </xf>
    <xf numFmtId="0" fontId="54" fillId="28" borderId="0" xfId="70" applyFont="1" applyFill="1" applyBorder="1" applyAlignment="1">
      <alignment horizontal="left" vertical="top"/>
    </xf>
    <xf numFmtId="0" fontId="54" fillId="28" borderId="0" xfId="70" applyFont="1" applyFill="1" applyBorder="1" applyAlignment="1">
      <alignment horizontal="left" vertical="top" wrapText="1"/>
    </xf>
    <xf numFmtId="0" fontId="53" fillId="33" borderId="0" xfId="0" applyFont="1" applyFill="1" applyBorder="1" applyAlignment="1">
      <alignment horizontal="left" vertical="top"/>
    </xf>
    <xf numFmtId="0" fontId="49" fillId="28" borderId="21" xfId="70" applyFont="1" applyFill="1" applyBorder="1" applyAlignment="1">
      <alignment horizontal="left" vertical="top"/>
    </xf>
    <xf numFmtId="0" fontId="49" fillId="28" borderId="21" xfId="70" applyFont="1" applyFill="1" applyBorder="1" applyAlignment="1">
      <alignment horizontal="left" vertical="top" wrapText="1"/>
    </xf>
    <xf numFmtId="0" fontId="48" fillId="28" borderId="0" xfId="0" applyFont="1" applyFill="1" applyAlignment="1">
      <alignment horizontal="left" vertical="top"/>
    </xf>
    <xf numFmtId="0" fontId="48" fillId="28" borderId="0" xfId="0" applyFont="1" applyFill="1" applyAlignment="1">
      <alignment horizontal="left" vertical="top" wrapText="1"/>
    </xf>
    <xf numFmtId="0" fontId="48" fillId="33" borderId="0" xfId="0" applyFont="1" applyFill="1" applyAlignment="1">
      <alignment horizontal="left" vertical="top"/>
    </xf>
    <xf numFmtId="0" fontId="3" fillId="33" borderId="0" xfId="0" applyFont="1" applyFill="1" applyBorder="1" applyAlignment="1">
      <alignment horizontal="left" vertical="top"/>
    </xf>
    <xf numFmtId="0" fontId="50" fillId="28" borderId="0" xfId="404" applyFont="1" applyFill="1" applyAlignment="1">
      <alignment horizontal="left" vertical="top" wrapText="1"/>
    </xf>
    <xf numFmtId="0" fontId="50" fillId="28" borderId="0" xfId="404" applyFont="1" applyFill="1" applyAlignment="1">
      <alignment horizontal="left" vertical="top"/>
    </xf>
    <xf numFmtId="0" fontId="48" fillId="33" borderId="0" xfId="0" applyFont="1" applyFill="1" applyAlignment="1">
      <alignment horizontal="left" vertical="top" wrapText="1"/>
    </xf>
    <xf numFmtId="0" fontId="55" fillId="28" borderId="0" xfId="0" applyFont="1" applyFill="1"/>
    <xf numFmtId="0" fontId="3" fillId="33" borderId="0" xfId="0" applyFont="1" applyFill="1"/>
    <xf numFmtId="0" fontId="3" fillId="28" borderId="21" xfId="0" applyFont="1" applyFill="1" applyBorder="1"/>
    <xf numFmtId="0" fontId="1" fillId="28" borderId="0" xfId="0" applyFont="1" applyFill="1" applyBorder="1"/>
    <xf numFmtId="168" fontId="1" fillId="28" borderId="0" xfId="0" applyNumberFormat="1" applyFont="1" applyFill="1" applyBorder="1"/>
    <xf numFmtId="2" fontId="1" fillId="28" borderId="0" xfId="0" applyNumberFormat="1" applyFont="1" applyFill="1" applyBorder="1"/>
    <xf numFmtId="1" fontId="1" fillId="28" borderId="0" xfId="0" applyNumberFormat="1" applyFont="1" applyFill="1" applyBorder="1"/>
    <xf numFmtId="0" fontId="1" fillId="33" borderId="0" xfId="0" applyFont="1" applyFill="1" applyAlignment="1">
      <alignment horizontal="left" vertical="top"/>
    </xf>
    <xf numFmtId="0" fontId="1" fillId="28" borderId="0" xfId="0" applyFont="1" applyFill="1" applyAlignment="1">
      <alignment horizontal="left" vertical="top"/>
    </xf>
    <xf numFmtId="2" fontId="1" fillId="33" borderId="0" xfId="0" applyNumberFormat="1" applyFont="1" applyFill="1"/>
    <xf numFmtId="0" fontId="1" fillId="28" borderId="0" xfId="0" applyFont="1" applyFill="1" applyAlignment="1">
      <alignment horizontal="left" vertical="top" wrapText="1"/>
    </xf>
    <xf numFmtId="0" fontId="55" fillId="28" borderId="0" xfId="0" applyFont="1" applyFill="1" applyAlignment="1">
      <alignment horizontal="left" vertical="top" wrapText="1"/>
    </xf>
    <xf numFmtId="0" fontId="4" fillId="28" borderId="0" xfId="0" applyFont="1" applyFill="1" applyAlignment="1">
      <alignment horizontal="left" vertical="top" wrapText="1"/>
    </xf>
    <xf numFmtId="0" fontId="3" fillId="28" borderId="0" xfId="0" applyFont="1" applyFill="1" applyBorder="1"/>
    <xf numFmtId="0" fontId="29" fillId="28" borderId="0" xfId="0" applyFont="1" applyFill="1" applyBorder="1"/>
    <xf numFmtId="0" fontId="4" fillId="28" borderId="0" xfId="0" applyFont="1" applyFill="1" applyBorder="1"/>
    <xf numFmtId="166" fontId="1" fillId="28" borderId="0" xfId="0" applyNumberFormat="1" applyFont="1" applyFill="1" applyBorder="1"/>
    <xf numFmtId="0" fontId="1" fillId="28" borderId="0" xfId="0" applyFont="1" applyFill="1" applyBorder="1" applyAlignment="1">
      <alignment wrapText="1"/>
    </xf>
    <xf numFmtId="0" fontId="1" fillId="28" borderId="0" xfId="0" applyFont="1" applyFill="1" applyBorder="1" applyAlignment="1">
      <alignment horizontal="right"/>
    </xf>
    <xf numFmtId="0" fontId="42" fillId="28" borderId="0" xfId="0" applyFont="1" applyFill="1" applyBorder="1"/>
    <xf numFmtId="0" fontId="47" fillId="28" borderId="0" xfId="0" applyFont="1" applyFill="1" applyBorder="1"/>
    <xf numFmtId="166" fontId="1" fillId="26" borderId="0" xfId="0" applyNumberFormat="1" applyFont="1" applyFill="1" applyBorder="1"/>
    <xf numFmtId="0" fontId="1" fillId="26" borderId="0" xfId="0" applyFont="1" applyFill="1" applyBorder="1"/>
    <xf numFmtId="0" fontId="3" fillId="26" borderId="0" xfId="0" applyFont="1" applyFill="1" applyBorder="1" applyAlignment="1">
      <alignment horizontal="right"/>
    </xf>
    <xf numFmtId="0" fontId="1" fillId="26" borderId="0" xfId="0" applyFont="1" applyFill="1" applyBorder="1" applyAlignment="1">
      <alignment horizontal="right"/>
    </xf>
    <xf numFmtId="0" fontId="1" fillId="26" borderId="0" xfId="0" applyFont="1" applyFill="1" applyBorder="1" applyAlignment="1">
      <alignment horizontal="left"/>
    </xf>
    <xf numFmtId="0" fontId="4" fillId="26" borderId="0" xfId="0" applyFont="1" applyFill="1" applyBorder="1"/>
    <xf numFmtId="0" fontId="38" fillId="26" borderId="0" xfId="0" applyFont="1" applyFill="1" applyBorder="1"/>
    <xf numFmtId="0" fontId="3" fillId="28" borderId="22" xfId="0" applyFont="1" applyFill="1" applyBorder="1"/>
    <xf numFmtId="0" fontId="1" fillId="28" borderId="22" xfId="0" applyFont="1" applyFill="1" applyBorder="1"/>
    <xf numFmtId="0" fontId="1" fillId="26" borderId="22" xfId="0" applyFont="1" applyFill="1" applyBorder="1"/>
    <xf numFmtId="0" fontId="29" fillId="25" borderId="0" xfId="0" applyFont="1" applyFill="1" applyBorder="1"/>
    <xf numFmtId="0" fontId="1" fillId="25" borderId="22" xfId="0" applyFont="1" applyFill="1" applyBorder="1"/>
    <xf numFmtId="0" fontId="1" fillId="25" borderId="22" xfId="0" applyFont="1" applyFill="1" applyBorder="1" applyAlignment="1">
      <alignment horizontal="right"/>
    </xf>
    <xf numFmtId="0" fontId="4" fillId="25" borderId="0" xfId="0" applyFont="1" applyFill="1" applyBorder="1"/>
    <xf numFmtId="0" fontId="38" fillId="25" borderId="0" xfId="0" applyFont="1" applyFill="1" applyBorder="1"/>
    <xf numFmtId="0" fontId="4" fillId="25" borderId="0" xfId="0" applyFont="1" applyFill="1" applyBorder="1" applyAlignment="1">
      <alignment horizontal="right"/>
    </xf>
    <xf numFmtId="0" fontId="3" fillId="25" borderId="22" xfId="0" applyFont="1" applyFill="1" applyBorder="1"/>
    <xf numFmtId="49" fontId="4" fillId="25" borderId="22" xfId="0" applyNumberFormat="1" applyFont="1" applyFill="1" applyBorder="1" applyAlignment="1">
      <alignment horizontal="right"/>
    </xf>
    <xf numFmtId="2" fontId="1" fillId="25" borderId="22" xfId="0" applyNumberFormat="1" applyFont="1" applyFill="1" applyBorder="1"/>
    <xf numFmtId="0" fontId="1" fillId="33" borderId="0" xfId="0" applyFont="1" applyFill="1" applyAlignment="1">
      <alignment vertical="top"/>
    </xf>
    <xf numFmtId="0" fontId="1" fillId="28" borderId="0" xfId="0" applyFont="1" applyFill="1" applyAlignment="1">
      <alignment vertical="top"/>
    </xf>
    <xf numFmtId="0" fontId="1" fillId="33" borderId="0" xfId="0" applyFont="1" applyFill="1" applyAlignment="1">
      <alignment horizontal="left" vertical="top" wrapText="1"/>
    </xf>
    <xf numFmtId="0" fontId="1" fillId="28" borderId="0" xfId="0" applyFont="1" applyFill="1" applyAlignment="1">
      <alignment vertical="top" wrapText="1"/>
    </xf>
    <xf numFmtId="0" fontId="1" fillId="33" borderId="0" xfId="0" applyFont="1" applyFill="1" applyBorder="1" applyAlignment="1">
      <alignment wrapText="1"/>
    </xf>
    <xf numFmtId="0" fontId="4" fillId="33" borderId="0" xfId="0" applyFont="1" applyFill="1" applyBorder="1" applyAlignment="1">
      <alignment wrapText="1"/>
    </xf>
    <xf numFmtId="0" fontId="36" fillId="33" borderId="0" xfId="0" applyFont="1" applyFill="1" applyBorder="1" applyAlignment="1">
      <alignment wrapText="1"/>
    </xf>
    <xf numFmtId="1" fontId="1" fillId="33" borderId="0" xfId="0" applyNumberFormat="1" applyFont="1" applyFill="1" applyBorder="1" applyAlignment="1">
      <alignment horizontal="left" wrapText="1"/>
    </xf>
    <xf numFmtId="0" fontId="1" fillId="33" borderId="0" xfId="0" applyFont="1" applyFill="1" applyBorder="1" applyAlignment="1">
      <alignment horizontal="left" wrapText="1"/>
    </xf>
    <xf numFmtId="3" fontId="1" fillId="33" borderId="0" xfId="0" applyNumberFormat="1" applyFont="1" applyFill="1" applyBorder="1" applyAlignment="1">
      <alignment wrapText="1"/>
    </xf>
    <xf numFmtId="0" fontId="35" fillId="33" borderId="0" xfId="0" applyFont="1" applyFill="1"/>
    <xf numFmtId="3" fontId="35" fillId="33" borderId="0" xfId="0" applyNumberFormat="1" applyFont="1" applyFill="1" applyBorder="1" applyAlignment="1">
      <alignment wrapText="1"/>
    </xf>
    <xf numFmtId="0" fontId="29" fillId="33" borderId="0" xfId="0" applyFont="1" applyFill="1" applyBorder="1"/>
    <xf numFmtId="3" fontId="36" fillId="33" borderId="0" xfId="0" applyNumberFormat="1" applyFont="1" applyFill="1" applyBorder="1" applyAlignment="1">
      <alignment wrapText="1"/>
    </xf>
    <xf numFmtId="0" fontId="29" fillId="33" borderId="0" xfId="0" applyFont="1" applyFill="1" applyBorder="1" applyAlignment="1">
      <alignment horizontal="left" indent="1"/>
    </xf>
    <xf numFmtId="0" fontId="30" fillId="33" borderId="0" xfId="0" applyFont="1" applyFill="1" applyBorder="1" applyAlignment="1">
      <alignment vertical="center"/>
    </xf>
    <xf numFmtId="0" fontId="37" fillId="33" borderId="0" xfId="0" applyFont="1" applyFill="1" applyBorder="1" applyAlignment="1">
      <alignment wrapText="1"/>
    </xf>
    <xf numFmtId="0" fontId="39" fillId="33" borderId="0" xfId="0" applyFont="1" applyFill="1" applyBorder="1"/>
    <xf numFmtId="0" fontId="39" fillId="33" borderId="0" xfId="0" applyFont="1" applyFill="1" applyBorder="1" applyAlignment="1">
      <alignment wrapText="1"/>
    </xf>
    <xf numFmtId="0" fontId="39" fillId="33" borderId="0" xfId="0" applyFont="1" applyFill="1" applyBorder="1" applyAlignment="1">
      <alignment horizontal="left" indent="1"/>
    </xf>
    <xf numFmtId="9" fontId="39" fillId="33" borderId="0" xfId="0" applyNumberFormat="1" applyFont="1" applyFill="1" applyBorder="1" applyAlignment="1">
      <alignment wrapText="1"/>
    </xf>
    <xf numFmtId="3" fontId="39" fillId="33" borderId="0" xfId="0" applyNumberFormat="1" applyFont="1" applyFill="1" applyBorder="1" applyAlignment="1">
      <alignment wrapText="1"/>
    </xf>
    <xf numFmtId="0" fontId="1" fillId="33" borderId="0" xfId="0" applyFont="1" applyFill="1" applyAlignment="1">
      <alignment wrapText="1"/>
    </xf>
    <xf numFmtId="2" fontId="3" fillId="28" borderId="0" xfId="0" applyNumberFormat="1" applyFont="1" applyFill="1" applyBorder="1"/>
    <xf numFmtId="1" fontId="3" fillId="28" borderId="0" xfId="0" applyNumberFormat="1" applyFont="1" applyFill="1" applyBorder="1"/>
    <xf numFmtId="3" fontId="3" fillId="28" borderId="0" xfId="0" applyNumberFormat="1" applyFont="1" applyFill="1" applyBorder="1"/>
    <xf numFmtId="3" fontId="1" fillId="28" borderId="0" xfId="0" applyNumberFormat="1" applyFont="1" applyFill="1" applyBorder="1" applyAlignment="1">
      <alignment wrapText="1"/>
    </xf>
    <xf numFmtId="0" fontId="4" fillId="28" borderId="0" xfId="0" applyFont="1" applyFill="1" applyBorder="1" applyAlignment="1">
      <alignment wrapText="1"/>
    </xf>
    <xf numFmtId="0" fontId="3" fillId="28" borderId="0" xfId="0" applyFont="1" applyFill="1" applyBorder="1" applyAlignment="1"/>
    <xf numFmtId="0" fontId="1" fillId="28" borderId="0" xfId="0" applyFont="1" applyFill="1" applyBorder="1" applyAlignment="1">
      <alignment vertical="top"/>
    </xf>
    <xf numFmtId="0" fontId="55" fillId="28" borderId="0" xfId="0" applyFont="1" applyFill="1" applyBorder="1" applyAlignment="1">
      <alignment horizontal="left" vertical="top"/>
    </xf>
    <xf numFmtId="0" fontId="1" fillId="28" borderId="0" xfId="0" applyFont="1" applyFill="1" applyBorder="1" applyAlignment="1">
      <alignment horizontal="left" vertical="top"/>
    </xf>
    <xf numFmtId="0" fontId="1" fillId="28" borderId="0" xfId="0" applyFont="1" applyFill="1" applyBorder="1" applyAlignment="1">
      <alignment vertical="top" wrapText="1"/>
    </xf>
    <xf numFmtId="0" fontId="38" fillId="28" borderId="0" xfId="0" applyFont="1" applyFill="1" applyBorder="1" applyAlignment="1">
      <alignment horizontal="left" vertical="top"/>
    </xf>
    <xf numFmtId="0" fontId="57" fillId="28" borderId="0" xfId="0" applyFont="1" applyFill="1" applyBorder="1" applyAlignment="1">
      <alignment horizontal="left" vertical="top"/>
    </xf>
    <xf numFmtId="3" fontId="1" fillId="33" borderId="0" xfId="0" applyNumberFormat="1" applyFont="1" applyFill="1"/>
    <xf numFmtId="3" fontId="1" fillId="33" borderId="0" xfId="0" applyNumberFormat="1" applyFont="1" applyFill="1" applyBorder="1"/>
    <xf numFmtId="3" fontId="35" fillId="33" borderId="0" xfId="0" applyNumberFormat="1" applyFont="1" applyFill="1"/>
    <xf numFmtId="1" fontId="4" fillId="28" borderId="0" xfId="0" applyNumberFormat="1" applyFont="1" applyFill="1" applyBorder="1" applyAlignment="1">
      <alignment horizontal="right"/>
    </xf>
    <xf numFmtId="1" fontId="38" fillId="28" borderId="0" xfId="0" applyNumberFormat="1" applyFont="1" applyFill="1" applyBorder="1"/>
    <xf numFmtId="0" fontId="38" fillId="28" borderId="0" xfId="0" applyFont="1" applyFill="1" applyBorder="1"/>
    <xf numFmtId="0" fontId="1" fillId="33" borderId="0" xfId="0" applyFont="1" applyFill="1" applyAlignment="1">
      <alignment vertical="top" wrapText="1"/>
    </xf>
    <xf numFmtId="0" fontId="1" fillId="33" borderId="0" xfId="0" applyFont="1" applyFill="1" applyBorder="1" applyAlignment="1">
      <alignment vertical="top"/>
    </xf>
    <xf numFmtId="0" fontId="1" fillId="33" borderId="0" xfId="0" applyFont="1" applyFill="1" applyBorder="1" applyAlignment="1">
      <alignment vertical="top" wrapText="1"/>
    </xf>
    <xf numFmtId="0" fontId="59" fillId="28" borderId="0" xfId="0" applyFont="1" applyFill="1" applyAlignment="1">
      <alignment horizontal="left" vertical="top"/>
    </xf>
    <xf numFmtId="0" fontId="1" fillId="28" borderId="0" xfId="0" applyFont="1" applyFill="1" applyBorder="1" applyAlignment="1">
      <alignment horizontal="left" vertical="top" wrapText="1"/>
    </xf>
    <xf numFmtId="0" fontId="3" fillId="28" borderId="0" xfId="0" applyFont="1" applyFill="1" applyBorder="1" applyAlignment="1">
      <alignment horizontal="left" vertical="top"/>
    </xf>
    <xf numFmtId="0" fontId="3" fillId="28" borderId="0" xfId="0" applyFont="1" applyFill="1" applyBorder="1" applyAlignment="1">
      <alignment horizontal="left" vertical="top" wrapText="1"/>
    </xf>
    <xf numFmtId="3" fontId="1" fillId="28" borderId="0" xfId="0" applyNumberFormat="1" applyFont="1" applyFill="1" applyBorder="1" applyAlignment="1">
      <alignment horizontal="left" vertical="top" wrapText="1"/>
    </xf>
    <xf numFmtId="0" fontId="3" fillId="28" borderId="22" xfId="0" applyFont="1" applyFill="1" applyBorder="1" applyAlignment="1">
      <alignment horizontal="left" vertical="top"/>
    </xf>
    <xf numFmtId="0" fontId="3" fillId="28" borderId="22" xfId="0" applyFont="1" applyFill="1" applyBorder="1" applyAlignment="1">
      <alignment horizontal="left" vertical="top" wrapText="1"/>
    </xf>
    <xf numFmtId="0" fontId="4" fillId="28" borderId="0" xfId="0" applyFont="1" applyFill="1" applyBorder="1" applyAlignment="1">
      <alignment horizontal="left" vertical="top"/>
    </xf>
    <xf numFmtId="0" fontId="38" fillId="28" borderId="22" xfId="0" applyFont="1" applyFill="1" applyBorder="1" applyAlignment="1">
      <alignment horizontal="left" vertical="top"/>
    </xf>
    <xf numFmtId="0" fontId="1" fillId="28" borderId="22" xfId="0" applyFont="1" applyFill="1" applyBorder="1" applyAlignment="1">
      <alignment horizontal="left" vertical="top" wrapText="1"/>
    </xf>
    <xf numFmtId="0" fontId="3" fillId="28" borderId="12" xfId="0" applyFont="1" applyFill="1" applyBorder="1" applyAlignment="1">
      <alignment horizontal="left" vertical="top"/>
    </xf>
    <xf numFmtId="3" fontId="3" fillId="28" borderId="12" xfId="0" applyNumberFormat="1" applyFont="1" applyFill="1" applyBorder="1" applyAlignment="1">
      <alignment horizontal="left" vertical="top" wrapText="1"/>
    </xf>
    <xf numFmtId="0" fontId="3" fillId="28" borderId="12" xfId="0" applyFont="1" applyFill="1" applyBorder="1" applyAlignment="1">
      <alignment horizontal="left" vertical="top" wrapText="1"/>
    </xf>
    <xf numFmtId="0" fontId="1" fillId="33" borderId="0" xfId="0" applyFont="1" applyFill="1" applyBorder="1" applyAlignment="1">
      <alignment horizontal="left" vertical="top" wrapText="1"/>
    </xf>
    <xf numFmtId="0" fontId="31" fillId="33" borderId="0" xfId="0" applyFont="1" applyFill="1" applyBorder="1" applyAlignment="1">
      <alignment horizontal="left" vertical="top"/>
    </xf>
    <xf numFmtId="0" fontId="4" fillId="33" borderId="0" xfId="0" applyFont="1" applyFill="1" applyBorder="1" applyAlignment="1">
      <alignment horizontal="left" vertical="top" wrapText="1"/>
    </xf>
    <xf numFmtId="0" fontId="36" fillId="33" borderId="0" xfId="0" applyFont="1" applyFill="1" applyBorder="1" applyAlignment="1">
      <alignment horizontal="left" vertical="top" wrapText="1"/>
    </xf>
    <xf numFmtId="1" fontId="1" fillId="33" borderId="0" xfId="0" applyNumberFormat="1" applyFont="1" applyFill="1" applyBorder="1" applyAlignment="1">
      <alignment horizontal="left" vertical="top" wrapText="1"/>
    </xf>
    <xf numFmtId="3" fontId="1" fillId="33" borderId="0" xfId="0" applyNumberFormat="1" applyFont="1" applyFill="1" applyBorder="1" applyAlignment="1">
      <alignment horizontal="left" vertical="top" wrapText="1"/>
    </xf>
    <xf numFmtId="0" fontId="1" fillId="33" borderId="0" xfId="0" applyFont="1" applyFill="1" applyBorder="1" applyAlignment="1">
      <alignment horizontal="left" vertical="top" indent="1"/>
    </xf>
    <xf numFmtId="0" fontId="35" fillId="33" borderId="0" xfId="0" applyFont="1" applyFill="1" applyAlignment="1">
      <alignment horizontal="left" vertical="top"/>
    </xf>
    <xf numFmtId="3" fontId="35" fillId="33" borderId="0" xfId="0" applyNumberFormat="1" applyFont="1" applyFill="1" applyBorder="1" applyAlignment="1">
      <alignment horizontal="left" vertical="top" wrapText="1"/>
    </xf>
    <xf numFmtId="0" fontId="34" fillId="33" borderId="0" xfId="0" applyFont="1" applyFill="1" applyBorder="1" applyAlignment="1">
      <alignment horizontal="left" vertical="top"/>
    </xf>
    <xf numFmtId="0" fontId="29" fillId="33" borderId="0" xfId="0" applyFont="1" applyFill="1" applyBorder="1" applyAlignment="1">
      <alignment horizontal="left" vertical="top"/>
    </xf>
    <xf numFmtId="3" fontId="36" fillId="33" borderId="0" xfId="0" applyNumberFormat="1" applyFont="1" applyFill="1" applyBorder="1" applyAlignment="1">
      <alignment horizontal="left" vertical="top" wrapText="1"/>
    </xf>
    <xf numFmtId="0" fontId="29" fillId="33" borderId="0" xfId="0" applyFont="1" applyFill="1" applyBorder="1" applyAlignment="1">
      <alignment horizontal="left" vertical="top" indent="1"/>
    </xf>
    <xf numFmtId="0" fontId="30" fillId="33" borderId="0" xfId="0" applyFont="1" applyFill="1" applyBorder="1" applyAlignment="1">
      <alignment horizontal="left" vertical="top"/>
    </xf>
    <xf numFmtId="0" fontId="37" fillId="33" borderId="0" xfId="0" applyFont="1" applyFill="1" applyBorder="1" applyAlignment="1">
      <alignment horizontal="left" vertical="top" wrapText="1"/>
    </xf>
    <xf numFmtId="0" fontId="39" fillId="33" borderId="0" xfId="0" applyFont="1" applyFill="1" applyBorder="1" applyAlignment="1">
      <alignment horizontal="left" vertical="top"/>
    </xf>
    <xf numFmtId="0" fontId="39" fillId="33" borderId="0" xfId="0" applyFont="1" applyFill="1" applyBorder="1" applyAlignment="1">
      <alignment horizontal="left" vertical="top" wrapText="1"/>
    </xf>
    <xf numFmtId="0" fontId="39" fillId="33" borderId="0" xfId="0" applyFont="1" applyFill="1" applyBorder="1" applyAlignment="1">
      <alignment horizontal="left" vertical="top" indent="1"/>
    </xf>
    <xf numFmtId="9" fontId="39" fillId="33" borderId="0" xfId="0" applyNumberFormat="1" applyFont="1" applyFill="1" applyBorder="1" applyAlignment="1">
      <alignment horizontal="left" vertical="top" wrapText="1"/>
    </xf>
    <xf numFmtId="3" fontId="39" fillId="33" borderId="0" xfId="0" applyNumberFormat="1" applyFont="1" applyFill="1" applyBorder="1" applyAlignment="1">
      <alignment horizontal="left" vertical="top" wrapText="1"/>
    </xf>
    <xf numFmtId="3" fontId="1" fillId="28" borderId="0" xfId="0" applyNumberFormat="1" applyFont="1" applyFill="1" applyBorder="1" applyAlignment="1">
      <alignment vertical="top" wrapText="1"/>
    </xf>
    <xf numFmtId="0" fontId="4" fillId="28" borderId="12" xfId="0" applyFont="1" applyFill="1" applyBorder="1" applyAlignment="1">
      <alignment horizontal="left" vertical="top"/>
    </xf>
    <xf numFmtId="0" fontId="3" fillId="28" borderId="0" xfId="0" applyFont="1" applyFill="1" applyBorder="1" applyAlignment="1">
      <alignment vertical="top"/>
    </xf>
    <xf numFmtId="0" fontId="38" fillId="28" borderId="0" xfId="0" applyFont="1" applyFill="1" applyBorder="1" applyAlignment="1">
      <alignment vertical="top"/>
    </xf>
    <xf numFmtId="3" fontId="4" fillId="28" borderId="0" xfId="0" applyNumberFormat="1" applyFont="1" applyFill="1" applyBorder="1" applyAlignment="1">
      <alignment vertical="top" wrapText="1"/>
    </xf>
    <xf numFmtId="166" fontId="4" fillId="28" borderId="0" xfId="0" applyNumberFormat="1" applyFont="1" applyFill="1" applyBorder="1" applyAlignment="1">
      <alignment vertical="top"/>
    </xf>
    <xf numFmtId="0" fontId="3" fillId="33" borderId="0" xfId="0" applyFont="1" applyFill="1" applyBorder="1" applyAlignment="1">
      <alignment vertical="top"/>
    </xf>
    <xf numFmtId="0" fontId="4" fillId="33" borderId="0" xfId="0" applyFont="1" applyFill="1" applyBorder="1" applyAlignment="1">
      <alignment vertical="top" wrapText="1"/>
    </xf>
    <xf numFmtId="0" fontId="36" fillId="33" borderId="0" xfId="0" applyFont="1" applyFill="1" applyBorder="1" applyAlignment="1">
      <alignment vertical="top" wrapText="1"/>
    </xf>
    <xf numFmtId="3" fontId="1" fillId="33" borderId="0" xfId="0" applyNumberFormat="1" applyFont="1" applyFill="1" applyBorder="1" applyAlignment="1">
      <alignment vertical="top" wrapText="1"/>
    </xf>
    <xf numFmtId="0" fontId="35" fillId="33" borderId="0" xfId="0" applyFont="1" applyFill="1" applyAlignment="1">
      <alignment vertical="top"/>
    </xf>
    <xf numFmtId="3" fontId="35" fillId="33" borderId="0" xfId="0" applyNumberFormat="1" applyFont="1" applyFill="1" applyBorder="1" applyAlignment="1">
      <alignment vertical="top" wrapText="1"/>
    </xf>
    <xf numFmtId="0" fontId="29" fillId="33" borderId="0" xfId="0" applyFont="1" applyFill="1" applyBorder="1" applyAlignment="1">
      <alignment vertical="top"/>
    </xf>
    <xf numFmtId="3" fontId="36" fillId="33" borderId="0" xfId="0" applyNumberFormat="1" applyFont="1" applyFill="1" applyBorder="1" applyAlignment="1">
      <alignment vertical="top" wrapText="1"/>
    </xf>
    <xf numFmtId="0" fontId="30" fillId="33" borderId="0" xfId="0" applyFont="1" applyFill="1" applyBorder="1" applyAlignment="1">
      <alignment vertical="top"/>
    </xf>
    <xf numFmtId="0" fontId="37" fillId="33" borderId="0" xfId="0" applyFont="1" applyFill="1" applyBorder="1" applyAlignment="1">
      <alignment vertical="top" wrapText="1"/>
    </xf>
    <xf numFmtId="0" fontId="39" fillId="33" borderId="0" xfId="0" applyFont="1" applyFill="1" applyBorder="1" applyAlignment="1">
      <alignment vertical="top"/>
    </xf>
    <xf numFmtId="0" fontId="39" fillId="33" borderId="0" xfId="0" applyFont="1" applyFill="1" applyBorder="1" applyAlignment="1">
      <alignment vertical="top" wrapText="1"/>
    </xf>
    <xf numFmtId="9" fontId="39" fillId="33" borderId="0" xfId="0" applyNumberFormat="1" applyFont="1" applyFill="1" applyBorder="1" applyAlignment="1">
      <alignment vertical="top" wrapText="1"/>
    </xf>
    <xf numFmtId="3" fontId="39" fillId="33" borderId="0" xfId="0" applyNumberFormat="1" applyFont="1" applyFill="1" applyBorder="1" applyAlignment="1">
      <alignment vertical="top" wrapText="1"/>
    </xf>
    <xf numFmtId="0" fontId="3" fillId="28" borderId="0" xfId="0" applyFont="1" applyFill="1" applyBorder="1" applyAlignment="1">
      <alignment wrapText="1"/>
    </xf>
    <xf numFmtId="0" fontId="3" fillId="28" borderId="0" xfId="0" applyFont="1" applyFill="1" applyBorder="1" applyAlignment="1">
      <alignment horizontal="center"/>
    </xf>
    <xf numFmtId="0" fontId="38" fillId="25" borderId="0" xfId="0" applyFont="1" applyFill="1" applyBorder="1" applyAlignment="1">
      <alignment horizontal="left" vertical="top"/>
    </xf>
    <xf numFmtId="0" fontId="3" fillId="25" borderId="0" xfId="0" applyFont="1" applyFill="1" applyBorder="1" applyAlignment="1">
      <alignment horizontal="left" vertical="top"/>
    </xf>
    <xf numFmtId="0" fontId="1" fillId="25" borderId="0" xfId="0" applyFont="1" applyFill="1" applyBorder="1" applyAlignment="1">
      <alignment horizontal="left" vertical="top" wrapText="1"/>
    </xf>
    <xf numFmtId="0" fontId="4" fillId="25" borderId="0" xfId="0" applyFont="1" applyFill="1" applyBorder="1" applyAlignment="1">
      <alignment horizontal="left" vertical="top" indent="1"/>
    </xf>
    <xf numFmtId="0" fontId="1" fillId="25" borderId="0" xfId="0" applyFont="1" applyFill="1" applyBorder="1" applyAlignment="1">
      <alignment horizontal="left" vertical="top"/>
    </xf>
    <xf numFmtId="0" fontId="4" fillId="33" borderId="0" xfId="0" applyFont="1" applyFill="1" applyAlignment="1">
      <alignment horizontal="left" vertical="top"/>
    </xf>
    <xf numFmtId="0" fontId="4" fillId="25" borderId="0" xfId="0" applyFont="1" applyFill="1" applyBorder="1" applyAlignment="1">
      <alignment horizontal="left" vertical="top" wrapText="1"/>
    </xf>
    <xf numFmtId="3" fontId="1" fillId="25" borderId="0" xfId="0" applyNumberFormat="1" applyFont="1" applyFill="1" applyBorder="1" applyAlignment="1">
      <alignment horizontal="left" vertical="top" wrapText="1"/>
    </xf>
    <xf numFmtId="0" fontId="38" fillId="25" borderId="12" xfId="0" applyFont="1" applyFill="1" applyBorder="1" applyAlignment="1">
      <alignment horizontal="left" vertical="top"/>
    </xf>
    <xf numFmtId="0" fontId="1" fillId="25" borderId="12" xfId="0" applyFont="1" applyFill="1" applyBorder="1" applyAlignment="1">
      <alignment horizontal="left" vertical="top"/>
    </xf>
    <xf numFmtId="3" fontId="1" fillId="25" borderId="12" xfId="0" applyNumberFormat="1" applyFont="1" applyFill="1" applyBorder="1" applyAlignment="1">
      <alignment horizontal="left" vertical="top" wrapText="1"/>
    </xf>
    <xf numFmtId="0" fontId="1" fillId="35" borderId="0" xfId="0" applyFont="1" applyFill="1" applyAlignment="1">
      <alignment horizontal="left" vertical="top" wrapText="1"/>
    </xf>
    <xf numFmtId="0" fontId="3" fillId="25" borderId="0" xfId="0" applyFont="1" applyFill="1" applyBorder="1" applyAlignment="1">
      <alignment horizontal="left" vertical="top" wrapText="1"/>
    </xf>
    <xf numFmtId="0" fontId="3" fillId="25" borderId="12" xfId="0" applyFont="1" applyFill="1" applyBorder="1" applyAlignment="1">
      <alignment horizontal="left" vertical="top" wrapText="1"/>
    </xf>
    <xf numFmtId="0" fontId="31" fillId="33" borderId="0" xfId="0" applyFont="1" applyFill="1" applyBorder="1" applyAlignment="1">
      <alignment horizontal="left" vertical="top" wrapText="1"/>
    </xf>
    <xf numFmtId="0" fontId="3" fillId="33" borderId="0" xfId="0" applyFont="1" applyFill="1" applyBorder="1" applyAlignment="1">
      <alignment horizontal="left" vertical="top" wrapText="1"/>
    </xf>
    <xf numFmtId="0" fontId="1" fillId="33" borderId="0" xfId="0" applyFont="1" applyFill="1" applyBorder="1" applyAlignment="1">
      <alignment horizontal="left" vertical="top" wrapText="1" indent="1"/>
    </xf>
    <xf numFmtId="0" fontId="34" fillId="33" borderId="0" xfId="0" applyFont="1" applyFill="1" applyBorder="1" applyAlignment="1">
      <alignment horizontal="left" vertical="top" wrapText="1"/>
    </xf>
    <xf numFmtId="0" fontId="29" fillId="33" borderId="0" xfId="0" applyFont="1" applyFill="1" applyBorder="1" applyAlignment="1">
      <alignment horizontal="left" vertical="top" wrapText="1"/>
    </xf>
    <xf numFmtId="0" fontId="29" fillId="33" borderId="0" xfId="0" applyFont="1" applyFill="1" applyBorder="1" applyAlignment="1">
      <alignment horizontal="left" vertical="top" wrapText="1" indent="1"/>
    </xf>
    <xf numFmtId="0" fontId="30" fillId="33" borderId="0" xfId="0" applyFont="1" applyFill="1" applyBorder="1" applyAlignment="1">
      <alignment horizontal="left" vertical="top" wrapText="1"/>
    </xf>
    <xf numFmtId="0" fontId="39" fillId="33" borderId="0" xfId="0" applyFont="1" applyFill="1" applyBorder="1" applyAlignment="1">
      <alignment horizontal="left" vertical="top" wrapText="1" indent="1"/>
    </xf>
    <xf numFmtId="0" fontId="4" fillId="25" borderId="0" xfId="0" applyFont="1" applyFill="1" applyBorder="1" applyAlignment="1">
      <alignment horizontal="left" indent="1"/>
    </xf>
    <xf numFmtId="0" fontId="1" fillId="25" borderId="0" xfId="0" applyFont="1" applyFill="1" applyBorder="1" applyAlignment="1">
      <alignment vertical="top" wrapText="1"/>
    </xf>
    <xf numFmtId="0" fontId="60" fillId="33" borderId="0" xfId="0" applyFont="1" applyFill="1" applyBorder="1" applyAlignment="1">
      <alignment vertical="top"/>
    </xf>
    <xf numFmtId="0" fontId="4" fillId="25" borderId="22" xfId="0" applyFont="1" applyFill="1" applyBorder="1" applyAlignment="1">
      <alignment horizontal="left" vertical="top"/>
    </xf>
    <xf numFmtId="0" fontId="1" fillId="25" borderId="22" xfId="0" applyFont="1" applyFill="1" applyBorder="1" applyAlignment="1">
      <alignment vertical="top"/>
    </xf>
    <xf numFmtId="0" fontId="38" fillId="25" borderId="0" xfId="0" applyFont="1" applyFill="1" applyBorder="1" applyAlignment="1">
      <alignment vertical="top"/>
    </xf>
    <xf numFmtId="0" fontId="3" fillId="28" borderId="22" xfId="0" applyFont="1" applyFill="1" applyBorder="1" applyAlignment="1">
      <alignment vertical="top" wrapText="1"/>
    </xf>
    <xf numFmtId="0" fontId="38" fillId="25" borderId="22" xfId="0" applyFont="1" applyFill="1" applyBorder="1" applyAlignment="1">
      <alignment vertical="top"/>
    </xf>
    <xf numFmtId="0" fontId="1" fillId="25" borderId="22" xfId="0" applyFont="1" applyFill="1" applyBorder="1" applyAlignment="1">
      <alignment vertical="top" wrapText="1"/>
    </xf>
    <xf numFmtId="0" fontId="1" fillId="28" borderId="22" xfId="0" applyFont="1" applyFill="1" applyBorder="1" applyAlignment="1">
      <alignment vertical="top" wrapText="1"/>
    </xf>
    <xf numFmtId="0" fontId="1" fillId="28" borderId="22" xfId="0" applyFont="1" applyFill="1" applyBorder="1" applyAlignment="1">
      <alignment wrapText="1"/>
    </xf>
    <xf numFmtId="0" fontId="60" fillId="33" borderId="0" xfId="0" applyFont="1" applyFill="1" applyBorder="1"/>
    <xf numFmtId="3" fontId="4" fillId="33" borderId="0" xfId="0" applyNumberFormat="1" applyFont="1" applyFill="1" applyBorder="1"/>
    <xf numFmtId="0" fontId="4" fillId="33" borderId="0" xfId="0" applyFont="1" applyFill="1" applyBorder="1"/>
    <xf numFmtId="1" fontId="4" fillId="25" borderId="0" xfId="0" applyNumberFormat="1" applyFont="1" applyFill="1" applyBorder="1" applyAlignment="1">
      <alignment horizontal="right"/>
    </xf>
    <xf numFmtId="0" fontId="4" fillId="25" borderId="0" xfId="0" applyFont="1" applyFill="1" applyBorder="1" applyAlignment="1">
      <alignment wrapText="1"/>
    </xf>
    <xf numFmtId="3" fontId="1" fillId="25" borderId="0" xfId="0" applyNumberFormat="1" applyFont="1" applyFill="1" applyBorder="1" applyAlignment="1">
      <alignment wrapText="1"/>
    </xf>
    <xf numFmtId="1" fontId="1" fillId="25" borderId="0" xfId="0" applyNumberFormat="1" applyFont="1" applyFill="1" applyBorder="1"/>
    <xf numFmtId="0" fontId="38" fillId="25" borderId="0" xfId="0" applyFont="1" applyFill="1" applyBorder="1" applyAlignment="1"/>
    <xf numFmtId="43" fontId="4" fillId="25" borderId="0" xfId="338" applyFont="1" applyFill="1" applyBorder="1" applyAlignment="1">
      <alignment horizontal="left" indent="1"/>
    </xf>
    <xf numFmtId="43" fontId="4" fillId="25" borderId="0" xfId="338" applyFont="1" applyFill="1" applyBorder="1"/>
    <xf numFmtId="0" fontId="4" fillId="25" borderId="0" xfId="0" applyFont="1" applyFill="1" applyBorder="1" applyAlignment="1"/>
    <xf numFmtId="1" fontId="3" fillId="25" borderId="0" xfId="0" applyNumberFormat="1" applyFont="1" applyFill="1" applyBorder="1"/>
    <xf numFmtId="0" fontId="1" fillId="25" borderId="0" xfId="0" applyFont="1" applyFill="1" applyBorder="1" applyAlignment="1">
      <alignment horizontal="left" indent="1"/>
    </xf>
    <xf numFmtId="0" fontId="1" fillId="25" borderId="0" xfId="0" applyFont="1" applyFill="1" applyBorder="1" applyAlignment="1"/>
    <xf numFmtId="3" fontId="4" fillId="25" borderId="0" xfId="0" applyNumberFormat="1" applyFont="1" applyFill="1" applyBorder="1" applyAlignment="1">
      <alignment wrapText="1"/>
    </xf>
    <xf numFmtId="3" fontId="1" fillId="28" borderId="22" xfId="0" applyNumberFormat="1" applyFont="1" applyFill="1" applyBorder="1" applyAlignment="1">
      <alignment wrapText="1"/>
    </xf>
    <xf numFmtId="3" fontId="3" fillId="28" borderId="22" xfId="0" applyNumberFormat="1" applyFont="1" applyFill="1" applyBorder="1"/>
    <xf numFmtId="0" fontId="3" fillId="28" borderId="22" xfId="0" applyFont="1" applyFill="1" applyBorder="1" applyAlignment="1">
      <alignment wrapText="1"/>
    </xf>
    <xf numFmtId="1" fontId="3" fillId="28" borderId="22" xfId="0" applyNumberFormat="1" applyFont="1" applyFill="1" applyBorder="1"/>
    <xf numFmtId="2" fontId="3" fillId="28" borderId="22" xfId="0" applyNumberFormat="1" applyFont="1" applyFill="1" applyBorder="1"/>
    <xf numFmtId="0" fontId="1" fillId="25" borderId="0" xfId="0" applyFont="1" applyFill="1" applyBorder="1" applyAlignment="1">
      <alignment horizontal="right"/>
    </xf>
    <xf numFmtId="166" fontId="1" fillId="33" borderId="0" xfId="0" applyNumberFormat="1" applyFont="1" applyFill="1"/>
    <xf numFmtId="0" fontId="3" fillId="28" borderId="14" xfId="0" applyFont="1" applyFill="1" applyBorder="1"/>
    <xf numFmtId="0" fontId="1" fillId="28" borderId="14" xfId="0" applyFont="1" applyFill="1" applyBorder="1"/>
    <xf numFmtId="1" fontId="1" fillId="28" borderId="14" xfId="0" applyNumberFormat="1" applyFont="1" applyFill="1" applyBorder="1"/>
    <xf numFmtId="0" fontId="1" fillId="28" borderId="0" xfId="0" applyFont="1" applyFill="1" applyBorder="1" applyAlignment="1">
      <alignment horizontal="left"/>
    </xf>
    <xf numFmtId="0" fontId="3" fillId="29" borderId="0" xfId="0" applyFont="1" applyFill="1" applyBorder="1"/>
    <xf numFmtId="0" fontId="1" fillId="29" borderId="0" xfId="0" applyFont="1" applyFill="1" applyBorder="1"/>
    <xf numFmtId="0" fontId="1" fillId="29" borderId="0" xfId="0" applyFont="1" applyFill="1" applyBorder="1" applyAlignment="1">
      <alignment wrapText="1"/>
    </xf>
    <xf numFmtId="0" fontId="1" fillId="30" borderId="0" xfId="0" applyFont="1" applyFill="1" applyBorder="1"/>
    <xf numFmtId="0" fontId="3" fillId="30" borderId="0" xfId="0" applyFont="1" applyFill="1" applyBorder="1"/>
    <xf numFmtId="0" fontId="3" fillId="31" borderId="0" xfId="0" applyFont="1" applyFill="1" applyBorder="1"/>
    <xf numFmtId="0" fontId="1" fillId="31" borderId="0" xfId="0" applyFont="1" applyFill="1" applyBorder="1"/>
    <xf numFmtId="0" fontId="3" fillId="33" borderId="0" xfId="0" applyFont="1" applyFill="1" applyBorder="1" applyAlignment="1">
      <alignment horizontal="center"/>
    </xf>
    <xf numFmtId="166" fontId="3" fillId="28" borderId="0" xfId="0" applyNumberFormat="1" applyFont="1" applyFill="1" applyBorder="1"/>
    <xf numFmtId="0" fontId="3" fillId="28" borderId="0" xfId="0" applyFont="1" applyFill="1" applyBorder="1" applyAlignment="1">
      <alignment horizontal="left"/>
    </xf>
    <xf numFmtId="0" fontId="41" fillId="28" borderId="0" xfId="0" applyFont="1" applyFill="1" applyBorder="1" applyAlignment="1">
      <alignment horizontal="right"/>
    </xf>
    <xf numFmtId="0" fontId="1" fillId="28" borderId="0" xfId="0" applyFont="1" applyFill="1" applyAlignment="1">
      <alignment wrapText="1"/>
    </xf>
    <xf numFmtId="0" fontId="1" fillId="32" borderId="20" xfId="0" applyFont="1" applyFill="1" applyBorder="1" applyAlignment="1" applyProtection="1">
      <alignment wrapText="1"/>
      <protection locked="0"/>
    </xf>
    <xf numFmtId="166" fontId="1" fillId="28" borderId="0" xfId="0" applyNumberFormat="1" applyFont="1" applyFill="1" applyBorder="1" applyAlignment="1">
      <alignment wrapText="1"/>
    </xf>
    <xf numFmtId="169" fontId="1" fillId="28" borderId="0" xfId="0" applyNumberFormat="1" applyFont="1" applyFill="1" applyBorder="1" applyAlignment="1">
      <alignment horizontal="right"/>
    </xf>
    <xf numFmtId="0" fontId="1" fillId="28" borderId="0" xfId="0" applyFont="1" applyFill="1" applyBorder="1" applyAlignment="1">
      <alignment horizontal="left" wrapText="1"/>
    </xf>
    <xf numFmtId="2" fontId="1" fillId="32" borderId="20" xfId="0" applyNumberFormat="1" applyFont="1" applyFill="1" applyBorder="1" applyAlignment="1" applyProtection="1">
      <alignment wrapText="1"/>
      <protection locked="0"/>
    </xf>
    <xf numFmtId="2" fontId="1" fillId="28" borderId="0" xfId="0" applyNumberFormat="1" applyFont="1" applyFill="1" applyBorder="1" applyAlignment="1">
      <alignment wrapText="1"/>
    </xf>
    <xf numFmtId="0" fontId="1" fillId="32" borderId="15" xfId="0" applyFont="1" applyFill="1" applyBorder="1" applyAlignment="1" applyProtection="1">
      <alignment wrapText="1"/>
      <protection locked="0"/>
    </xf>
    <xf numFmtId="0" fontId="55" fillId="35" borderId="0" xfId="0" applyFont="1" applyFill="1"/>
    <xf numFmtId="0" fontId="48" fillId="0" borderId="0" xfId="0" applyFont="1"/>
    <xf numFmtId="3" fontId="1" fillId="28" borderId="0" xfId="0" applyNumberFormat="1" applyFont="1" applyFill="1" applyBorder="1"/>
    <xf numFmtId="0" fontId="1" fillId="27" borderId="24" xfId="0" applyFont="1" applyFill="1" applyBorder="1" applyAlignment="1" applyProtection="1">
      <alignment horizontal="right"/>
      <protection locked="0"/>
    </xf>
    <xf numFmtId="0" fontId="3" fillId="28" borderId="0" xfId="0" applyFont="1" applyFill="1" applyAlignment="1">
      <alignment horizontal="right"/>
    </xf>
    <xf numFmtId="0" fontId="3" fillId="28" borderId="0" xfId="0" applyFont="1" applyFill="1" applyBorder="1" applyAlignment="1">
      <alignment horizontal="right"/>
    </xf>
    <xf numFmtId="166" fontId="1" fillId="28" borderId="16" xfId="0" applyNumberFormat="1" applyFont="1" applyFill="1" applyBorder="1"/>
    <xf numFmtId="1" fontId="1" fillId="28" borderId="16" xfId="0" applyNumberFormat="1" applyFont="1" applyFill="1" applyBorder="1"/>
    <xf numFmtId="9" fontId="1" fillId="28" borderId="0" xfId="0" applyNumberFormat="1" applyFont="1" applyFill="1" applyBorder="1"/>
    <xf numFmtId="9" fontId="1" fillId="27" borderId="24" xfId="403" applyFont="1" applyFill="1" applyBorder="1" applyProtection="1">
      <protection locked="0"/>
    </xf>
    <xf numFmtId="0" fontId="55" fillId="28" borderId="0" xfId="0" applyFont="1" applyFill="1" applyBorder="1" applyAlignment="1">
      <alignment horizontal="center"/>
    </xf>
    <xf numFmtId="0" fontId="1" fillId="25" borderId="22" xfId="0" applyFont="1" applyFill="1" applyBorder="1" applyAlignment="1">
      <alignment horizontal="right" vertical="top"/>
    </xf>
    <xf numFmtId="0" fontId="3" fillId="28" borderId="22" xfId="0" applyFont="1" applyFill="1" applyBorder="1" applyAlignment="1">
      <alignment horizontal="center"/>
    </xf>
    <xf numFmtId="0" fontId="3" fillId="25" borderId="22" xfId="0" applyFont="1" applyFill="1" applyBorder="1" applyAlignment="1">
      <alignment horizontal="left" vertical="top"/>
    </xf>
    <xf numFmtId="0" fontId="59" fillId="28" borderId="0" xfId="70" applyFont="1" applyFill="1" applyBorder="1" applyAlignment="1">
      <alignment horizontal="left" vertical="top"/>
    </xf>
    <xf numFmtId="168" fontId="1" fillId="25" borderId="22" xfId="0" applyNumberFormat="1" applyFont="1" applyFill="1" applyBorder="1" applyAlignment="1">
      <alignment vertical="top"/>
    </xf>
    <xf numFmtId="170" fontId="1" fillId="25" borderId="22" xfId="0" applyNumberFormat="1" applyFont="1" applyFill="1" applyBorder="1" applyAlignment="1">
      <alignment vertical="top"/>
    </xf>
    <xf numFmtId="168" fontId="4" fillId="26" borderId="22" xfId="0" applyNumberFormat="1" applyFont="1" applyFill="1" applyBorder="1" applyAlignment="1">
      <alignment vertical="top"/>
    </xf>
    <xf numFmtId="0" fontId="4" fillId="26" borderId="22" xfId="0" applyFont="1" applyFill="1" applyBorder="1" applyAlignment="1">
      <alignment vertical="top"/>
    </xf>
    <xf numFmtId="0" fontId="1" fillId="28" borderId="0" xfId="0" applyFont="1" applyFill="1" applyBorder="1" applyAlignment="1">
      <alignment horizontal="right" vertical="top"/>
    </xf>
    <xf numFmtId="0" fontId="1" fillId="28" borderId="0" xfId="0" applyFont="1" applyFill="1" applyAlignment="1">
      <alignment horizontal="right" vertical="top"/>
    </xf>
    <xf numFmtId="0" fontId="3" fillId="28" borderId="22" xfId="0" applyFont="1" applyFill="1" applyBorder="1" applyAlignment="1">
      <alignment horizontal="right"/>
    </xf>
    <xf numFmtId="0" fontId="38" fillId="25" borderId="0" xfId="0" applyFont="1" applyFill="1" applyBorder="1" applyAlignment="1">
      <alignment horizontal="right"/>
    </xf>
    <xf numFmtId="0" fontId="1" fillId="33" borderId="0" xfId="0" applyFont="1" applyFill="1" applyAlignment="1">
      <alignment horizontal="right"/>
    </xf>
    <xf numFmtId="166" fontId="1" fillId="26" borderId="0" xfId="0" applyNumberFormat="1" applyFont="1" applyFill="1" applyBorder="1" applyAlignment="1">
      <alignment horizontal="right"/>
    </xf>
    <xf numFmtId="0" fontId="37" fillId="28" borderId="0" xfId="0" applyFont="1" applyFill="1" applyBorder="1"/>
    <xf numFmtId="0" fontId="37" fillId="25" borderId="0" xfId="0" applyFont="1" applyFill="1" applyBorder="1" applyAlignment="1">
      <alignment wrapText="1"/>
    </xf>
    <xf numFmtId="0" fontId="55" fillId="28" borderId="0" xfId="0" applyFont="1" applyFill="1" applyBorder="1" applyAlignment="1">
      <alignment horizontal="left" vertical="top" wrapText="1"/>
    </xf>
    <xf numFmtId="0" fontId="38" fillId="28" borderId="0" xfId="0" applyFont="1" applyFill="1" applyBorder="1" applyAlignment="1">
      <alignment horizontal="left" vertical="top" wrapText="1"/>
    </xf>
    <xf numFmtId="0" fontId="38" fillId="28" borderId="22" xfId="0" applyFont="1" applyFill="1" applyBorder="1" applyAlignment="1">
      <alignment wrapText="1"/>
    </xf>
    <xf numFmtId="0" fontId="38" fillId="28" borderId="0" xfId="0" applyFont="1" applyFill="1" applyBorder="1" applyAlignment="1">
      <alignment wrapText="1"/>
    </xf>
    <xf numFmtId="0" fontId="38" fillId="25" borderId="0" xfId="0" applyFont="1" applyFill="1" applyBorder="1" applyAlignment="1">
      <alignment wrapText="1"/>
    </xf>
    <xf numFmtId="0" fontId="3" fillId="25" borderId="0" xfId="0" applyFont="1" applyFill="1" applyBorder="1" applyAlignment="1">
      <alignment wrapText="1"/>
    </xf>
    <xf numFmtId="0" fontId="3" fillId="33" borderId="0" xfId="0" applyFont="1" applyFill="1" applyBorder="1" applyAlignment="1">
      <alignment wrapText="1"/>
    </xf>
    <xf numFmtId="0" fontId="60" fillId="33" borderId="0" xfId="0" applyFont="1" applyFill="1" applyBorder="1" applyAlignment="1">
      <alignment wrapText="1"/>
    </xf>
    <xf numFmtId="0" fontId="29" fillId="33" borderId="0" xfId="0" applyFont="1" applyFill="1" applyBorder="1" applyAlignment="1">
      <alignment wrapText="1"/>
    </xf>
    <xf numFmtId="0" fontId="29" fillId="33" borderId="0" xfId="0" applyFont="1" applyFill="1" applyBorder="1" applyAlignment="1">
      <alignment horizontal="left" wrapText="1"/>
    </xf>
    <xf numFmtId="0" fontId="30" fillId="33" borderId="0" xfId="0" applyFont="1" applyFill="1" applyBorder="1" applyAlignment="1">
      <alignment vertical="center" wrapText="1"/>
    </xf>
    <xf numFmtId="0" fontId="39" fillId="33" borderId="0" xfId="0" applyFont="1" applyFill="1" applyBorder="1" applyAlignment="1">
      <alignment horizontal="left" wrapText="1"/>
    </xf>
    <xf numFmtId="0" fontId="1" fillId="35" borderId="0" xfId="0" applyFont="1" applyFill="1" applyAlignment="1">
      <alignment horizontal="right" vertical="top"/>
    </xf>
    <xf numFmtId="2" fontId="3" fillId="28" borderId="0" xfId="0" applyNumberFormat="1" applyFont="1" applyFill="1" applyBorder="1" applyAlignment="1">
      <alignment horizontal="right" vertical="top"/>
    </xf>
    <xf numFmtId="0" fontId="3" fillId="28" borderId="0" xfId="0" applyFont="1" applyFill="1" applyBorder="1" applyAlignment="1">
      <alignment horizontal="right" vertical="top"/>
    </xf>
    <xf numFmtId="2" fontId="3" fillId="28" borderId="22" xfId="0" applyNumberFormat="1" applyFont="1" applyFill="1" applyBorder="1" applyAlignment="1">
      <alignment horizontal="right" vertical="top"/>
    </xf>
    <xf numFmtId="0" fontId="3" fillId="28" borderId="12" xfId="0" applyFont="1" applyFill="1" applyBorder="1" applyAlignment="1">
      <alignment horizontal="right" vertical="top"/>
    </xf>
    <xf numFmtId="1" fontId="3" fillId="25" borderId="0" xfId="0" applyNumberFormat="1" applyFont="1" applyFill="1" applyBorder="1" applyAlignment="1">
      <alignment horizontal="right" vertical="top"/>
    </xf>
    <xf numFmtId="0" fontId="4" fillId="25" borderId="0" xfId="0" applyFont="1" applyFill="1" applyBorder="1" applyAlignment="1">
      <alignment horizontal="right" vertical="top"/>
    </xf>
    <xf numFmtId="1" fontId="4" fillId="25" borderId="0" xfId="0" applyNumberFormat="1" applyFont="1" applyFill="1" applyBorder="1" applyAlignment="1">
      <alignment horizontal="right" vertical="top"/>
    </xf>
    <xf numFmtId="1" fontId="3" fillId="28" borderId="22" xfId="0" applyNumberFormat="1" applyFont="1" applyFill="1" applyBorder="1" applyAlignment="1">
      <alignment horizontal="right" vertical="top"/>
    </xf>
    <xf numFmtId="1" fontId="3" fillId="28" borderId="0" xfId="0" applyNumberFormat="1" applyFont="1" applyFill="1" applyBorder="1" applyAlignment="1">
      <alignment horizontal="right" vertical="top"/>
    </xf>
    <xf numFmtId="0" fontId="3" fillId="25" borderId="0" xfId="0" applyFont="1" applyFill="1" applyBorder="1" applyAlignment="1">
      <alignment horizontal="right" vertical="top"/>
    </xf>
    <xf numFmtId="3" fontId="3" fillId="28" borderId="0" xfId="0" applyNumberFormat="1" applyFont="1" applyFill="1" applyBorder="1" applyAlignment="1">
      <alignment horizontal="right" vertical="top"/>
    </xf>
    <xf numFmtId="3" fontId="3" fillId="25" borderId="0" xfId="0" applyNumberFormat="1" applyFont="1" applyFill="1" applyBorder="1" applyAlignment="1">
      <alignment horizontal="right" vertical="top"/>
    </xf>
    <xf numFmtId="166" fontId="3" fillId="28" borderId="0" xfId="0" applyNumberFormat="1" applyFont="1" applyFill="1" applyBorder="1" applyAlignment="1">
      <alignment horizontal="right" vertical="top"/>
    </xf>
    <xf numFmtId="3" fontId="3" fillId="25" borderId="12" xfId="0" applyNumberFormat="1" applyFont="1" applyFill="1" applyBorder="1" applyAlignment="1">
      <alignment horizontal="right" vertical="top"/>
    </xf>
    <xf numFmtId="0" fontId="4" fillId="28" borderId="0" xfId="0" applyFont="1" applyFill="1" applyBorder="1" applyAlignment="1">
      <alignment horizontal="right" vertical="top"/>
    </xf>
    <xf numFmtId="0" fontId="1" fillId="33" borderId="0" xfId="0" applyFont="1" applyFill="1" applyBorder="1" applyAlignment="1">
      <alignment horizontal="right" vertical="top"/>
    </xf>
    <xf numFmtId="0" fontId="31" fillId="33" borderId="0" xfId="0" applyFont="1" applyFill="1" applyBorder="1" applyAlignment="1">
      <alignment horizontal="right" vertical="top"/>
    </xf>
    <xf numFmtId="0" fontId="3" fillId="33" borderId="0" xfId="0" applyFont="1" applyFill="1" applyBorder="1" applyAlignment="1">
      <alignment horizontal="right" vertical="top"/>
    </xf>
    <xf numFmtId="0" fontId="1" fillId="33" borderId="0" xfId="0" applyFont="1" applyFill="1" applyBorder="1" applyAlignment="1">
      <alignment horizontal="right" vertical="top" indent="1"/>
    </xf>
    <xf numFmtId="0" fontId="34" fillId="33" borderId="0" xfId="0" applyFont="1" applyFill="1" applyBorder="1" applyAlignment="1">
      <alignment horizontal="right" vertical="top"/>
    </xf>
    <xf numFmtId="0" fontId="29" fillId="33" borderId="0" xfId="0" applyFont="1" applyFill="1" applyBorder="1" applyAlignment="1">
      <alignment horizontal="right" vertical="top"/>
    </xf>
    <xf numFmtId="0" fontId="29" fillId="33" borderId="0" xfId="0" applyFont="1" applyFill="1" applyBorder="1" applyAlignment="1">
      <alignment horizontal="right" vertical="top" indent="1"/>
    </xf>
    <xf numFmtId="0" fontId="30" fillId="33" borderId="0" xfId="0" applyFont="1" applyFill="1" applyBorder="1" applyAlignment="1">
      <alignment horizontal="right" vertical="top"/>
    </xf>
    <xf numFmtId="0" fontId="39" fillId="33" borderId="0" xfId="0" applyFont="1" applyFill="1" applyBorder="1" applyAlignment="1">
      <alignment horizontal="right" vertical="top"/>
    </xf>
    <xf numFmtId="0" fontId="39" fillId="33" borderId="0" xfId="0" applyFont="1" applyFill="1" applyBorder="1" applyAlignment="1">
      <alignment horizontal="right" vertical="top" indent="1"/>
    </xf>
    <xf numFmtId="0" fontId="1" fillId="33" borderId="0" xfId="0" applyFont="1" applyFill="1" applyAlignment="1">
      <alignment horizontal="right" vertical="top"/>
    </xf>
    <xf numFmtId="0" fontId="3" fillId="28" borderId="0" xfId="0" applyFont="1" applyFill="1" applyBorder="1" applyAlignment="1">
      <alignment horizontal="right" vertical="top" wrapText="1"/>
    </xf>
    <xf numFmtId="1" fontId="3" fillId="28" borderId="0" xfId="0" applyNumberFormat="1" applyFont="1" applyFill="1" applyBorder="1" applyAlignment="1">
      <alignment horizontal="right" vertical="top" wrapText="1"/>
    </xf>
    <xf numFmtId="0" fontId="65" fillId="28" borderId="0" xfId="0" applyFont="1" applyFill="1" applyBorder="1" applyAlignment="1">
      <alignment vertical="top"/>
    </xf>
    <xf numFmtId="0" fontId="64" fillId="28" borderId="0" xfId="0" applyFont="1" applyFill="1" applyAlignment="1">
      <alignment vertical="top"/>
    </xf>
    <xf numFmtId="0" fontId="1" fillId="25" borderId="0" xfId="0" applyFont="1" applyFill="1" applyBorder="1" applyAlignment="1">
      <alignment horizontal="right" vertical="top"/>
    </xf>
    <xf numFmtId="2" fontId="3" fillId="25" borderId="0" xfId="0" applyNumberFormat="1" applyFont="1" applyFill="1" applyBorder="1" applyAlignment="1">
      <alignment horizontal="right" vertical="top"/>
    </xf>
    <xf numFmtId="2" fontId="1" fillId="28" borderId="0" xfId="0" applyNumberFormat="1" applyFont="1" applyFill="1" applyBorder="1" applyAlignment="1">
      <alignment horizontal="right" vertical="top"/>
    </xf>
    <xf numFmtId="1" fontId="1" fillId="28" borderId="0" xfId="0" applyNumberFormat="1" applyFont="1" applyFill="1" applyBorder="1" applyAlignment="1">
      <alignment horizontal="right" vertical="top"/>
    </xf>
    <xf numFmtId="2" fontId="1" fillId="25" borderId="0" xfId="0" applyNumberFormat="1" applyFont="1" applyFill="1" applyBorder="1" applyAlignment="1">
      <alignment horizontal="right" vertical="top"/>
    </xf>
    <xf numFmtId="0" fontId="4" fillId="33" borderId="0" xfId="0" applyFont="1" applyFill="1" applyAlignment="1">
      <alignment vertical="top"/>
    </xf>
    <xf numFmtId="0" fontId="4" fillId="28" borderId="0" xfId="0" applyFont="1" applyFill="1" applyAlignment="1">
      <alignment vertical="top"/>
    </xf>
    <xf numFmtId="0" fontId="38" fillId="28" borderId="12" xfId="0" applyFont="1" applyFill="1" applyBorder="1" applyAlignment="1">
      <alignment vertical="top"/>
    </xf>
    <xf numFmtId="0" fontId="38" fillId="28" borderId="22" xfId="0" applyFont="1" applyFill="1" applyBorder="1" applyAlignment="1">
      <alignment horizontal="right" vertical="top"/>
    </xf>
    <xf numFmtId="0" fontId="38" fillId="28" borderId="12" xfId="0" applyFont="1" applyFill="1" applyBorder="1" applyAlignment="1">
      <alignment vertical="top" wrapText="1"/>
    </xf>
    <xf numFmtId="0" fontId="38" fillId="25" borderId="13" xfId="0" applyFont="1" applyFill="1" applyBorder="1" applyAlignment="1">
      <alignment vertical="top"/>
    </xf>
    <xf numFmtId="0" fontId="4" fillId="33" borderId="0" xfId="0" applyFont="1" applyFill="1" applyBorder="1" applyAlignment="1">
      <alignment vertical="top"/>
    </xf>
    <xf numFmtId="0" fontId="4" fillId="28" borderId="0" xfId="0" applyFont="1" applyFill="1" applyBorder="1" applyAlignment="1">
      <alignment vertical="top"/>
    </xf>
    <xf numFmtId="1" fontId="4" fillId="25" borderId="0" xfId="0" applyNumberFormat="1" applyFont="1" applyFill="1" applyBorder="1" applyAlignment="1">
      <alignment vertical="top"/>
    </xf>
    <xf numFmtId="0" fontId="4" fillId="25" borderId="0" xfId="0" applyFont="1" applyFill="1" applyBorder="1" applyAlignment="1">
      <alignment vertical="top"/>
    </xf>
    <xf numFmtId="0" fontId="4" fillId="25" borderId="0" xfId="0" applyFont="1" applyFill="1" applyBorder="1" applyAlignment="1">
      <alignment vertical="top" wrapText="1"/>
    </xf>
    <xf numFmtId="0" fontId="4" fillId="25" borderId="0" xfId="0" applyFont="1" applyFill="1" applyAlignment="1">
      <alignment vertical="top" wrapText="1"/>
    </xf>
    <xf numFmtId="0" fontId="38" fillId="28" borderId="22" xfId="0" applyFont="1" applyFill="1" applyBorder="1" applyAlignment="1">
      <alignment vertical="top"/>
    </xf>
    <xf numFmtId="0" fontId="66" fillId="28" borderId="22" xfId="0" applyFont="1" applyFill="1" applyBorder="1" applyAlignment="1">
      <alignment vertical="top"/>
    </xf>
    <xf numFmtId="0" fontId="38" fillId="25" borderId="0" xfId="0" applyFont="1" applyFill="1" applyAlignment="1">
      <alignment horizontal="right" vertical="top"/>
    </xf>
    <xf numFmtId="0" fontId="38" fillId="25" borderId="0" xfId="0" applyFont="1" applyFill="1" applyAlignment="1">
      <alignment vertical="top"/>
    </xf>
    <xf numFmtId="0" fontId="4" fillId="25" borderId="0" xfId="0" applyFont="1" applyFill="1" applyAlignment="1">
      <alignment vertical="top"/>
    </xf>
    <xf numFmtId="0" fontId="4" fillId="25" borderId="0" xfId="0" applyFont="1" applyFill="1" applyAlignment="1">
      <alignment horizontal="right" vertical="top"/>
    </xf>
    <xf numFmtId="1" fontId="38" fillId="28" borderId="0" xfId="0" applyNumberFormat="1" applyFont="1" applyFill="1" applyAlignment="1">
      <alignment horizontal="right" vertical="top"/>
    </xf>
    <xf numFmtId="0" fontId="38" fillId="28" borderId="0" xfId="0" applyFont="1" applyFill="1" applyAlignment="1">
      <alignment vertical="top"/>
    </xf>
    <xf numFmtId="0" fontId="4" fillId="28" borderId="0" xfId="0" applyFont="1" applyFill="1" applyAlignment="1">
      <alignment horizontal="right" vertical="top"/>
    </xf>
    <xf numFmtId="0" fontId="4" fillId="28" borderId="0" xfId="0" applyFont="1" applyFill="1" applyAlignment="1">
      <alignment vertical="top" wrapText="1"/>
    </xf>
    <xf numFmtId="3" fontId="4" fillId="25" borderId="0" xfId="0" applyNumberFormat="1" applyFont="1" applyFill="1" applyBorder="1" applyAlignment="1">
      <alignment vertical="top" wrapText="1"/>
    </xf>
    <xf numFmtId="0" fontId="4" fillId="25" borderId="22" xfId="0" applyFont="1" applyFill="1" applyBorder="1" applyAlignment="1">
      <alignment vertical="top"/>
    </xf>
    <xf numFmtId="1" fontId="38" fillId="25" borderId="0" xfId="0" applyNumberFormat="1" applyFont="1" applyFill="1" applyBorder="1" applyAlignment="1">
      <alignment horizontal="right" vertical="top"/>
    </xf>
    <xf numFmtId="1" fontId="38" fillId="28" borderId="0" xfId="0" applyNumberFormat="1" applyFont="1" applyFill="1" applyBorder="1" applyAlignment="1">
      <alignment horizontal="right" vertical="top"/>
    </xf>
    <xf numFmtId="0" fontId="4" fillId="28" borderId="0" xfId="0" applyFont="1" applyFill="1" applyBorder="1" applyAlignment="1">
      <alignment vertical="top" wrapText="1"/>
    </xf>
    <xf numFmtId="49" fontId="4" fillId="28" borderId="0" xfId="0" applyNumberFormat="1" applyFont="1" applyFill="1" applyBorder="1" applyAlignment="1">
      <alignment horizontal="right" vertical="top"/>
    </xf>
    <xf numFmtId="1" fontId="38" fillId="25" borderId="22" xfId="0" applyNumberFormat="1" applyFont="1" applyFill="1" applyBorder="1" applyAlignment="1">
      <alignment horizontal="right" vertical="top"/>
    </xf>
    <xf numFmtId="0" fontId="4" fillId="25" borderId="22" xfId="0" applyFont="1" applyFill="1" applyBorder="1" applyAlignment="1">
      <alignment vertical="top" wrapText="1"/>
    </xf>
    <xf numFmtId="0" fontId="38" fillId="28" borderId="0" xfId="0" applyFont="1" applyFill="1" applyBorder="1" applyAlignment="1">
      <alignment horizontal="right" vertical="top" wrapText="1"/>
    </xf>
    <xf numFmtId="0" fontId="38" fillId="28" borderId="0" xfId="0" applyFont="1" applyFill="1" applyBorder="1" applyAlignment="1">
      <alignment vertical="top" wrapText="1"/>
    </xf>
    <xf numFmtId="0" fontId="38" fillId="25" borderId="21" xfId="0" applyFont="1" applyFill="1" applyBorder="1" applyAlignment="1">
      <alignment vertical="top"/>
    </xf>
    <xf numFmtId="0" fontId="4" fillId="25" borderId="21" xfId="0" applyFont="1" applyFill="1" applyBorder="1" applyAlignment="1">
      <alignment vertical="top"/>
    </xf>
    <xf numFmtId="0" fontId="4" fillId="25" borderId="21" xfId="0" applyFont="1" applyFill="1" applyBorder="1" applyAlignment="1">
      <alignment vertical="top" wrapText="1"/>
    </xf>
    <xf numFmtId="0" fontId="38" fillId="25" borderId="23" xfId="0" applyFont="1" applyFill="1" applyBorder="1" applyAlignment="1">
      <alignment wrapText="1"/>
    </xf>
    <xf numFmtId="0" fontId="38" fillId="25" borderId="23" xfId="0" applyFont="1" applyFill="1" applyBorder="1"/>
    <xf numFmtId="0" fontId="4" fillId="25" borderId="23" xfId="0" applyFont="1" applyFill="1" applyBorder="1"/>
    <xf numFmtId="0" fontId="4" fillId="25" borderId="23" xfId="0" applyFont="1" applyFill="1" applyBorder="1" applyAlignment="1">
      <alignment wrapText="1"/>
    </xf>
    <xf numFmtId="0" fontId="3" fillId="25" borderId="0" xfId="0" applyFont="1" applyFill="1" applyBorder="1" applyAlignment="1">
      <alignment vertical="top" wrapText="1"/>
    </xf>
    <xf numFmtId="0" fontId="38" fillId="28" borderId="22" xfId="0" applyFont="1" applyFill="1" applyBorder="1" applyAlignment="1">
      <alignment horizontal="left" vertical="top" wrapText="1"/>
    </xf>
    <xf numFmtId="0" fontId="4" fillId="28" borderId="22" xfId="0" applyFont="1" applyFill="1" applyBorder="1" applyAlignment="1">
      <alignment horizontal="left" vertical="top"/>
    </xf>
    <xf numFmtId="0" fontId="38" fillId="25" borderId="23" xfId="0" applyFont="1" applyFill="1" applyBorder="1" applyAlignment="1">
      <alignment horizontal="left" vertical="top"/>
    </xf>
    <xf numFmtId="0" fontId="38" fillId="25" borderId="23" xfId="0" applyFont="1" applyFill="1" applyBorder="1" applyAlignment="1">
      <alignment horizontal="right" vertical="top"/>
    </xf>
    <xf numFmtId="0" fontId="38" fillId="25" borderId="23" xfId="0" applyFont="1" applyFill="1" applyBorder="1" applyAlignment="1">
      <alignment horizontal="left" vertical="top" wrapText="1"/>
    </xf>
    <xf numFmtId="0" fontId="4" fillId="25" borderId="23" xfId="0" applyFont="1" applyFill="1" applyBorder="1" applyAlignment="1">
      <alignment horizontal="left" vertical="top"/>
    </xf>
    <xf numFmtId="0" fontId="4" fillId="25" borderId="23" xfId="0" applyFont="1" applyFill="1" applyBorder="1" applyAlignment="1">
      <alignment horizontal="left" vertical="top" wrapText="1"/>
    </xf>
    <xf numFmtId="0" fontId="3" fillId="28" borderId="24" xfId="0" applyFont="1" applyFill="1" applyBorder="1" applyAlignment="1">
      <alignment wrapText="1"/>
    </xf>
    <xf numFmtId="0" fontId="59" fillId="35" borderId="0" xfId="0" applyFont="1" applyFill="1" applyAlignment="1">
      <alignment horizontal="left" vertical="top" wrapText="1"/>
    </xf>
    <xf numFmtId="0" fontId="59" fillId="35" borderId="0" xfId="0" applyFont="1" applyFill="1" applyAlignment="1">
      <alignment vertical="top" wrapText="1"/>
    </xf>
    <xf numFmtId="0" fontId="68" fillId="35" borderId="0" xfId="404" applyFont="1" applyFill="1" applyAlignment="1">
      <alignment vertical="top" wrapText="1"/>
    </xf>
    <xf numFmtId="0" fontId="59" fillId="0" borderId="0" xfId="0" applyFont="1" applyAlignment="1">
      <alignment wrapText="1"/>
    </xf>
    <xf numFmtId="0" fontId="58" fillId="33" borderId="0" xfId="0" applyFont="1" applyFill="1" applyAlignment="1">
      <alignment horizontal="left" vertical="top"/>
    </xf>
    <xf numFmtId="0" fontId="58" fillId="28" borderId="0" xfId="0" applyFont="1" applyFill="1" applyAlignment="1">
      <alignment horizontal="left" vertical="top"/>
    </xf>
    <xf numFmtId="0" fontId="58" fillId="28" borderId="0" xfId="0" applyFont="1" applyFill="1" applyAlignment="1">
      <alignment horizontal="left" vertical="top" wrapText="1"/>
    </xf>
    <xf numFmtId="0" fontId="67" fillId="33" borderId="0" xfId="0" applyFont="1" applyFill="1" applyBorder="1" applyAlignment="1">
      <alignment horizontal="left" vertical="top"/>
    </xf>
    <xf numFmtId="0" fontId="59" fillId="33" borderId="0" xfId="0" applyFont="1" applyFill="1" applyAlignment="1">
      <alignment horizontal="left" vertical="top"/>
    </xf>
    <xf numFmtId="0" fontId="59" fillId="28" borderId="0" xfId="0" applyFont="1" applyFill="1" applyAlignment="1">
      <alignment horizontal="left" vertical="top" wrapText="1"/>
    </xf>
    <xf numFmtId="0" fontId="69" fillId="28" borderId="0" xfId="404" applyFont="1" applyFill="1" applyAlignment="1">
      <alignment horizontal="left" vertical="top"/>
    </xf>
    <xf numFmtId="0" fontId="59" fillId="28" borderId="0" xfId="0" applyFont="1" applyFill="1" applyAlignment="1">
      <alignment vertical="top"/>
    </xf>
    <xf numFmtId="0" fontId="59" fillId="28" borderId="0" xfId="0" applyFont="1" applyFill="1" applyAlignment="1">
      <alignment vertical="top" wrapText="1"/>
    </xf>
    <xf numFmtId="0" fontId="68" fillId="28" borderId="0" xfId="404" applyFont="1" applyFill="1" applyAlignment="1">
      <alignment vertical="top" wrapText="1"/>
    </xf>
    <xf numFmtId="0" fontId="58" fillId="28" borderId="0" xfId="70" applyFont="1" applyFill="1" applyBorder="1" applyAlignment="1">
      <alignment horizontal="left" vertical="top"/>
    </xf>
    <xf numFmtId="0" fontId="70" fillId="28" borderId="0" xfId="70" applyFont="1" applyFill="1" applyBorder="1" applyAlignment="1">
      <alignment horizontal="left" vertical="top" wrapText="1"/>
    </xf>
    <xf numFmtId="0" fontId="70" fillId="28" borderId="0" xfId="70" applyFont="1" applyFill="1" applyBorder="1" applyAlignment="1">
      <alignment horizontal="left" vertical="top"/>
    </xf>
    <xf numFmtId="0" fontId="58" fillId="33" borderId="0" xfId="0" applyFont="1" applyFill="1" applyBorder="1" applyAlignment="1">
      <alignment horizontal="left" vertical="top"/>
    </xf>
    <xf numFmtId="0" fontId="71" fillId="28" borderId="0" xfId="404" applyFont="1" applyFill="1" applyAlignment="1">
      <alignment horizontal="left" vertical="top" wrapText="1"/>
    </xf>
    <xf numFmtId="0" fontId="72" fillId="28" borderId="0" xfId="404" applyFont="1" applyFill="1" applyAlignment="1">
      <alignment horizontal="left" vertical="top" wrapText="1"/>
    </xf>
    <xf numFmtId="0" fontId="72" fillId="28" borderId="0" xfId="404" applyFont="1" applyFill="1" applyAlignment="1">
      <alignment horizontal="left" vertical="top"/>
    </xf>
    <xf numFmtId="0" fontId="59" fillId="33" borderId="0" xfId="0" applyFont="1" applyFill="1" applyAlignment="1">
      <alignment horizontal="left" vertical="top" wrapText="1"/>
    </xf>
    <xf numFmtId="0" fontId="71" fillId="35" borderId="0" xfId="404" applyFont="1" applyFill="1" applyAlignment="1">
      <alignment vertical="top" wrapText="1"/>
    </xf>
    <xf numFmtId="0" fontId="59" fillId="28" borderId="0" xfId="0" applyFont="1" applyFill="1" applyBorder="1" applyAlignment="1">
      <alignment horizontal="left" vertical="top"/>
    </xf>
    <xf numFmtId="0" fontId="73" fillId="28" borderId="0" xfId="70" applyFont="1" applyFill="1" applyBorder="1" applyAlignment="1">
      <alignment horizontal="left" vertical="top"/>
    </xf>
    <xf numFmtId="0" fontId="59" fillId="33" borderId="0" xfId="0" applyFont="1" applyFill="1" applyBorder="1" applyAlignment="1">
      <alignment horizontal="left" vertical="top"/>
    </xf>
    <xf numFmtId="0" fontId="4" fillId="33" borderId="0" xfId="0" applyFont="1" applyFill="1"/>
    <xf numFmtId="0" fontId="4" fillId="28" borderId="0" xfId="0" applyFont="1" applyFill="1"/>
    <xf numFmtId="3" fontId="4" fillId="28" borderId="0" xfId="0" applyNumberFormat="1" applyFont="1" applyFill="1"/>
    <xf numFmtId="0" fontId="38" fillId="28" borderId="0" xfId="0" applyFont="1" applyFill="1"/>
    <xf numFmtId="0" fontId="38" fillId="28" borderId="21" xfId="0" applyFont="1" applyFill="1" applyBorder="1"/>
    <xf numFmtId="0" fontId="38" fillId="33" borderId="0" xfId="0" applyFont="1" applyFill="1"/>
    <xf numFmtId="1" fontId="4" fillId="28" borderId="0" xfId="0" applyNumberFormat="1" applyFont="1" applyFill="1"/>
    <xf numFmtId="166" fontId="4" fillId="28" borderId="14" xfId="0" applyNumberFormat="1" applyFont="1" applyFill="1" applyBorder="1"/>
    <xf numFmtId="1" fontId="4" fillId="28" borderId="14" xfId="0" applyNumberFormat="1" applyFont="1" applyFill="1" applyBorder="1"/>
    <xf numFmtId="0" fontId="4" fillId="28" borderId="14" xfId="0" applyFont="1" applyFill="1" applyBorder="1"/>
    <xf numFmtId="166" fontId="37" fillId="28" borderId="0" xfId="0" applyNumberFormat="1" applyFont="1" applyFill="1" applyBorder="1"/>
    <xf numFmtId="168" fontId="4" fillId="28" borderId="0" xfId="0" applyNumberFormat="1" applyFont="1" applyFill="1" applyBorder="1"/>
    <xf numFmtId="2" fontId="4" fillId="28" borderId="0" xfId="0" applyNumberFormat="1" applyFont="1" applyFill="1" applyBorder="1"/>
    <xf numFmtId="0" fontId="32" fillId="28" borderId="0" xfId="404" applyFill="1" applyAlignment="1">
      <alignment horizontal="left" vertical="top" wrapText="1"/>
    </xf>
    <xf numFmtId="0" fontId="38" fillId="28" borderId="22" xfId="0" applyFont="1" applyFill="1" applyBorder="1" applyAlignment="1">
      <alignment vertical="top" wrapText="1"/>
    </xf>
    <xf numFmtId="3" fontId="4" fillId="28" borderId="12" xfId="0" applyNumberFormat="1" applyFont="1" applyFill="1" applyBorder="1" applyAlignment="1">
      <alignment vertical="top" wrapText="1"/>
    </xf>
    <xf numFmtId="1" fontId="4" fillId="25" borderId="0" xfId="0" applyNumberFormat="1" applyFont="1" applyFill="1" applyAlignment="1">
      <alignment horizontal="right" vertical="top"/>
    </xf>
    <xf numFmtId="0" fontId="4" fillId="29" borderId="0" xfId="0" applyFont="1" applyFill="1" applyBorder="1"/>
    <xf numFmtId="1" fontId="4" fillId="28" borderId="0" xfId="0" applyNumberFormat="1" applyFont="1" applyFill="1" applyAlignment="1">
      <alignment horizontal="right" vertical="top"/>
    </xf>
    <xf numFmtId="2" fontId="4" fillId="25" borderId="0" xfId="0" applyNumberFormat="1" applyFont="1" applyFill="1" applyBorder="1" applyAlignment="1">
      <alignment wrapText="1"/>
    </xf>
    <xf numFmtId="14" fontId="4" fillId="28" borderId="0" xfId="69" quotePrefix="1" applyNumberFormat="1" applyFont="1" applyFill="1" applyBorder="1" applyAlignment="1" applyProtection="1">
      <alignment horizontal="left" vertical="center"/>
    </xf>
    <xf numFmtId="166" fontId="4" fillId="26" borderId="0" xfId="0" applyNumberFormat="1" applyFont="1" applyFill="1" applyBorder="1"/>
    <xf numFmtId="1" fontId="38" fillId="25" borderId="0" xfId="0" applyNumberFormat="1" applyFont="1" applyFill="1" applyBorder="1" applyAlignment="1">
      <alignment vertical="top"/>
    </xf>
    <xf numFmtId="0" fontId="32" fillId="28" borderId="0" xfId="404" applyFill="1" applyBorder="1" applyAlignment="1">
      <alignment horizontal="left" vertical="top" wrapText="1"/>
    </xf>
    <xf numFmtId="0" fontId="32" fillId="36" borderId="0" xfId="404" applyFill="1" applyAlignment="1">
      <alignment horizontal="left" vertical="top" wrapText="1"/>
    </xf>
    <xf numFmtId="168" fontId="3" fillId="25" borderId="0" xfId="0" applyNumberFormat="1" applyFont="1" applyFill="1" applyBorder="1"/>
    <xf numFmtId="166" fontId="40" fillId="0" borderId="0" xfId="0" applyNumberFormat="1" applyFont="1" applyBorder="1"/>
    <xf numFmtId="0" fontId="3" fillId="28" borderId="0" xfId="0" applyFont="1" applyFill="1" applyBorder="1" applyAlignment="1">
      <alignment horizontal="center"/>
    </xf>
    <xf numFmtId="2" fontId="1" fillId="35" borderId="14" xfId="0" applyNumberFormat="1" applyFont="1" applyFill="1" applyBorder="1" applyAlignment="1">
      <alignment horizontal="right" vertical="top"/>
    </xf>
    <xf numFmtId="2" fontId="1" fillId="32" borderId="30" xfId="0" applyNumberFormat="1" applyFont="1" applyFill="1" applyBorder="1" applyAlignment="1" applyProtection="1">
      <alignment horizontal="right" vertical="top" wrapText="1"/>
      <protection locked="0"/>
    </xf>
    <xf numFmtId="0" fontId="74" fillId="37" borderId="0" xfId="0" applyFont="1" applyFill="1"/>
    <xf numFmtId="0" fontId="1" fillId="32" borderId="30" xfId="0" applyFont="1" applyFill="1" applyBorder="1" applyAlignment="1" applyProtection="1">
      <alignment horizontal="left" vertical="top" wrapText="1"/>
      <protection locked="0"/>
    </xf>
    <xf numFmtId="2" fontId="41" fillId="33" borderId="0" xfId="0" applyNumberFormat="1" applyFont="1" applyFill="1" applyAlignment="1">
      <alignment horizontal="left" vertical="top"/>
    </xf>
    <xf numFmtId="0" fontId="1" fillId="33" borderId="0" xfId="0" applyFont="1" applyFill="1" applyBorder="1" applyAlignment="1">
      <alignment horizontal="left"/>
    </xf>
    <xf numFmtId="0" fontId="1" fillId="32" borderId="30" xfId="0" applyFont="1" applyFill="1" applyBorder="1" applyAlignment="1" applyProtection="1">
      <alignment wrapText="1"/>
      <protection locked="0"/>
    </xf>
    <xf numFmtId="0" fontId="1" fillId="32" borderId="30" xfId="0" applyFont="1" applyFill="1" applyBorder="1" applyProtection="1">
      <protection locked="0"/>
    </xf>
    <xf numFmtId="0" fontId="4" fillId="28" borderId="0" xfId="0" applyFont="1" applyFill="1" applyBorder="1" applyAlignment="1" applyProtection="1">
      <alignment wrapText="1"/>
      <protection locked="0"/>
    </xf>
    <xf numFmtId="2" fontId="1" fillId="33" borderId="0" xfId="0" applyNumberFormat="1" applyFont="1" applyFill="1" applyBorder="1" applyAlignment="1">
      <alignment horizontal="right"/>
    </xf>
    <xf numFmtId="1" fontId="1" fillId="33" borderId="0" xfId="0" applyNumberFormat="1" applyFont="1" applyFill="1" applyBorder="1" applyAlignment="1">
      <alignment horizontal="right"/>
    </xf>
    <xf numFmtId="0" fontId="1" fillId="33" borderId="0" xfId="0" applyFont="1" applyFill="1" applyBorder="1" applyAlignment="1">
      <alignment horizontal="right"/>
    </xf>
    <xf numFmtId="0" fontId="3" fillId="33" borderId="0" xfId="0" applyFont="1" applyFill="1" applyBorder="1" applyAlignment="1">
      <alignment horizontal="left"/>
    </xf>
    <xf numFmtId="168" fontId="1" fillId="33" borderId="0" xfId="0" applyNumberFormat="1" applyFont="1" applyFill="1" applyBorder="1" applyAlignment="1">
      <alignment horizontal="right"/>
    </xf>
    <xf numFmtId="169" fontId="1" fillId="33" borderId="0" xfId="0" applyNumberFormat="1" applyFont="1" applyFill="1" applyBorder="1" applyAlignment="1">
      <alignment horizontal="right"/>
    </xf>
    <xf numFmtId="169" fontId="41" fillId="33" borderId="0" xfId="0" applyNumberFormat="1" applyFont="1" applyFill="1" applyBorder="1" applyAlignment="1">
      <alignment horizontal="right"/>
    </xf>
    <xf numFmtId="0" fontId="41" fillId="33" borderId="0" xfId="0" applyFont="1" applyFill="1" applyBorder="1" applyAlignment="1">
      <alignment horizontal="right"/>
    </xf>
    <xf numFmtId="0" fontId="1" fillId="28" borderId="0" xfId="0" applyFont="1" applyFill="1" applyBorder="1" applyAlignment="1" applyProtection="1">
      <alignment wrapText="1"/>
      <protection locked="0"/>
    </xf>
    <xf numFmtId="0" fontId="1" fillId="28" borderId="0" xfId="0" applyFont="1" applyFill="1" applyBorder="1" applyProtection="1">
      <protection locked="0"/>
    </xf>
    <xf numFmtId="2" fontId="4" fillId="33" borderId="0" xfId="0" applyNumberFormat="1" applyFont="1" applyFill="1" applyBorder="1" applyAlignment="1">
      <alignment horizontal="right"/>
    </xf>
    <xf numFmtId="0" fontId="4" fillId="33" borderId="0" xfId="0" applyFont="1" applyFill="1" applyBorder="1" applyAlignment="1">
      <alignment horizontal="right"/>
    </xf>
    <xf numFmtId="2" fontId="1" fillId="33" borderId="0" xfId="0" applyNumberFormat="1" applyFont="1" applyFill="1" applyBorder="1"/>
    <xf numFmtId="168" fontId="1" fillId="33" borderId="0" xfId="0" applyNumberFormat="1" applyFont="1" applyFill="1" applyBorder="1"/>
    <xf numFmtId="3" fontId="1" fillId="34" borderId="0" xfId="0" applyNumberFormat="1" applyFont="1" applyFill="1"/>
    <xf numFmtId="4" fontId="4" fillId="28" borderId="14" xfId="0" applyNumberFormat="1" applyFont="1" applyFill="1" applyBorder="1"/>
    <xf numFmtId="4" fontId="1" fillId="32" borderId="20" xfId="0" applyNumberFormat="1" applyFont="1" applyFill="1" applyBorder="1" applyAlignment="1" applyProtection="1">
      <alignment wrapText="1"/>
      <protection locked="0"/>
    </xf>
    <xf numFmtId="4" fontId="4" fillId="33" borderId="0" xfId="0" applyNumberFormat="1" applyFont="1" applyFill="1" applyBorder="1"/>
    <xf numFmtId="4" fontId="1" fillId="35" borderId="14" xfId="0" applyNumberFormat="1" applyFont="1" applyFill="1" applyBorder="1" applyAlignment="1">
      <alignment horizontal="right" vertical="top"/>
    </xf>
    <xf numFmtId="4" fontId="1" fillId="35" borderId="0" xfId="0" applyNumberFormat="1" applyFont="1" applyFill="1" applyAlignment="1">
      <alignment horizontal="left" vertical="top"/>
    </xf>
    <xf numFmtId="4" fontId="1" fillId="32" borderId="30" xfId="0" applyNumberFormat="1" applyFont="1" applyFill="1" applyBorder="1" applyAlignment="1" applyProtection="1">
      <alignment horizontal="right" vertical="top" wrapText="1"/>
      <protection locked="0"/>
    </xf>
    <xf numFmtId="4" fontId="4" fillId="28" borderId="0" xfId="0" applyNumberFormat="1" applyFont="1" applyFill="1" applyBorder="1"/>
    <xf numFmtId="4" fontId="4" fillId="27" borderId="4" xfId="0" applyNumberFormat="1" applyFont="1" applyFill="1" applyBorder="1" applyAlignment="1">
      <alignment wrapText="1"/>
    </xf>
    <xf numFmtId="4" fontId="1" fillId="28" borderId="0" xfId="0" applyNumberFormat="1" applyFont="1" applyFill="1" applyBorder="1"/>
    <xf numFmtId="4" fontId="3" fillId="28" borderId="0" xfId="0" applyNumberFormat="1" applyFont="1" applyFill="1" applyBorder="1"/>
    <xf numFmtId="4" fontId="38" fillId="28" borderId="0" xfId="0" applyNumberFormat="1" applyFont="1" applyFill="1" applyBorder="1"/>
    <xf numFmtId="4" fontId="1" fillId="28" borderId="0" xfId="0" applyNumberFormat="1" applyFont="1" applyFill="1" applyBorder="1" applyAlignment="1">
      <alignment horizontal="left"/>
    </xf>
    <xf numFmtId="4" fontId="1" fillId="33" borderId="0" xfId="0" applyNumberFormat="1" applyFont="1" applyFill="1" applyBorder="1" applyAlignment="1">
      <alignment horizontal="right"/>
    </xf>
    <xf numFmtId="4" fontId="1" fillId="33" borderId="0" xfId="0" applyNumberFormat="1" applyFont="1" applyFill="1" applyBorder="1" applyAlignment="1">
      <alignment horizontal="left"/>
    </xf>
    <xf numFmtId="4" fontId="1" fillId="28" borderId="0" xfId="0" applyNumberFormat="1" applyFont="1" applyFill="1" applyBorder="1" applyAlignment="1">
      <alignment wrapText="1"/>
    </xf>
    <xf numFmtId="4" fontId="3" fillId="28" borderId="0" xfId="0" applyNumberFormat="1" applyFont="1" applyFill="1" applyBorder="1" applyAlignment="1">
      <alignment wrapText="1"/>
    </xf>
    <xf numFmtId="0" fontId="4" fillId="30" borderId="0" xfId="0" applyFont="1" applyFill="1" applyBorder="1"/>
    <xf numFmtId="0" fontId="4" fillId="28" borderId="0" xfId="0" applyFont="1" applyFill="1" applyBorder="1" applyAlignment="1">
      <alignment horizontal="left" vertical="top" wrapText="1"/>
    </xf>
    <xf numFmtId="0" fontId="59" fillId="34" borderId="0" xfId="0" applyFont="1" applyFill="1" applyAlignment="1">
      <alignment horizontal="left" vertical="top"/>
    </xf>
    <xf numFmtId="0" fontId="58" fillId="28" borderId="0" xfId="0" applyFont="1" applyFill="1" applyBorder="1" applyAlignment="1">
      <alignment horizontal="left" vertical="top"/>
    </xf>
    <xf numFmtId="0" fontId="59" fillId="36" borderId="0" xfId="0" applyFont="1" applyFill="1" applyAlignment="1">
      <alignment horizontal="left" vertical="top" wrapText="1"/>
    </xf>
    <xf numFmtId="0" fontId="59" fillId="36" borderId="0" xfId="0" applyFont="1" applyFill="1" applyAlignment="1">
      <alignment horizontal="left" vertical="top"/>
    </xf>
    <xf numFmtId="0" fontId="4" fillId="28" borderId="0" xfId="0" applyFont="1" applyFill="1" applyBorder="1" applyAlignment="1">
      <alignment horizontal="left" vertical="top" indent="1"/>
    </xf>
    <xf numFmtId="167" fontId="37" fillId="33" borderId="0" xfId="0" applyNumberFormat="1" applyFont="1" applyFill="1" applyBorder="1"/>
    <xf numFmtId="2" fontId="4" fillId="25" borderId="0" xfId="0" applyNumberFormat="1" applyFont="1" applyFill="1" applyBorder="1"/>
    <xf numFmtId="49" fontId="4" fillId="25" borderId="0" xfId="0" applyNumberFormat="1" applyFont="1" applyFill="1" applyBorder="1" applyAlignment="1">
      <alignment horizontal="right"/>
    </xf>
    <xf numFmtId="0" fontId="32" fillId="35" borderId="0" xfId="404" applyFill="1" applyAlignment="1" applyProtection="1">
      <alignment horizontal="left" vertical="top" wrapText="1"/>
      <protection locked="0"/>
    </xf>
    <xf numFmtId="0" fontId="4" fillId="25" borderId="22" xfId="0" applyFont="1" applyFill="1" applyBorder="1"/>
    <xf numFmtId="0" fontId="38" fillId="34" borderId="0" xfId="0" applyFont="1" applyFill="1" applyBorder="1" applyAlignment="1">
      <alignment horizontal="left" wrapText="1"/>
    </xf>
    <xf numFmtId="0" fontId="3" fillId="25" borderId="0" xfId="0" applyFont="1" applyFill="1" applyBorder="1" applyAlignment="1">
      <alignment horizontal="left" wrapText="1" indent="1"/>
    </xf>
    <xf numFmtId="0" fontId="4" fillId="25" borderId="0" xfId="0" applyFont="1" applyFill="1" applyBorder="1" applyAlignment="1">
      <alignment horizontal="left" wrapText="1" indent="1"/>
    </xf>
    <xf numFmtId="0" fontId="38" fillId="25" borderId="0" xfId="0" applyFont="1" applyFill="1" applyBorder="1" applyAlignment="1">
      <alignment horizontal="left" wrapText="1" indent="1"/>
    </xf>
    <xf numFmtId="0" fontId="38" fillId="28" borderId="0" xfId="0" applyFont="1" applyFill="1" applyBorder="1" applyAlignment="1">
      <alignment horizontal="left" wrapText="1" indent="1"/>
    </xf>
    <xf numFmtId="0" fontId="4" fillId="28" borderId="0" xfId="0" applyFont="1" applyFill="1" applyBorder="1" applyAlignment="1">
      <alignment horizontal="left" wrapText="1" indent="1"/>
    </xf>
    <xf numFmtId="1" fontId="4" fillId="28" borderId="0" xfId="0" applyNumberFormat="1" applyFont="1" applyFill="1" applyBorder="1"/>
    <xf numFmtId="49" fontId="1" fillId="28" borderId="0" xfId="0" applyNumberFormat="1" applyFont="1" applyFill="1" applyBorder="1" applyAlignment="1">
      <alignment horizontal="right"/>
    </xf>
    <xf numFmtId="1" fontId="3" fillId="28" borderId="0" xfId="0" applyNumberFormat="1" applyFont="1" applyFill="1" applyBorder="1" applyAlignment="1">
      <alignment vertical="top"/>
    </xf>
    <xf numFmtId="0" fontId="3" fillId="28" borderId="0" xfId="0" applyFont="1" applyFill="1" applyBorder="1" applyAlignment="1">
      <alignment horizontal="left" wrapText="1" indent="1"/>
    </xf>
    <xf numFmtId="0" fontId="38" fillId="28" borderId="0" xfId="0" applyFont="1" applyFill="1" applyBorder="1" applyAlignment="1">
      <alignment horizontal="left"/>
    </xf>
    <xf numFmtId="0" fontId="38" fillId="28" borderId="0" xfId="0" applyFont="1" applyFill="1" applyBorder="1" applyAlignment="1">
      <alignment horizontal="left" indent="1"/>
    </xf>
    <xf numFmtId="0" fontId="1" fillId="28" borderId="0" xfId="0" applyFont="1" applyFill="1" applyBorder="1" applyAlignment="1">
      <alignment horizontal="left" wrapText="1" indent="1"/>
    </xf>
    <xf numFmtId="0" fontId="1" fillId="25" borderId="0" xfId="0" applyFont="1" applyFill="1" applyBorder="1" applyAlignment="1">
      <alignment vertical="top"/>
    </xf>
    <xf numFmtId="0" fontId="1" fillId="31" borderId="0" xfId="0" applyFont="1" applyFill="1" applyBorder="1" applyAlignment="1">
      <alignment horizontal="left" indent="1"/>
    </xf>
    <xf numFmtId="0" fontId="1" fillId="32" borderId="33" xfId="0" applyFont="1" applyFill="1" applyBorder="1" applyAlignment="1" applyProtection="1">
      <alignment wrapText="1"/>
      <protection locked="0"/>
    </xf>
    <xf numFmtId="0" fontId="1" fillId="32" borderId="4" xfId="0" applyFont="1" applyFill="1" applyBorder="1" applyAlignment="1" applyProtection="1">
      <alignment wrapText="1"/>
      <protection locked="0"/>
    </xf>
    <xf numFmtId="4" fontId="4" fillId="28" borderId="0" xfId="0" applyNumberFormat="1" applyFont="1" applyFill="1" applyBorder="1" applyAlignment="1">
      <alignment wrapText="1"/>
    </xf>
    <xf numFmtId="0" fontId="1" fillId="28" borderId="0" xfId="0" applyFont="1" applyFill="1" applyBorder="1" applyAlignment="1" applyProtection="1">
      <alignment horizontal="left" vertical="top" wrapText="1"/>
      <protection locked="0"/>
    </xf>
    <xf numFmtId="0" fontId="1" fillId="32" borderId="33" xfId="0" applyFont="1" applyFill="1" applyBorder="1" applyProtection="1">
      <protection locked="0"/>
    </xf>
    <xf numFmtId="0" fontId="1" fillId="32" borderId="4" xfId="0" applyFont="1" applyFill="1" applyBorder="1" applyProtection="1">
      <protection locked="0"/>
    </xf>
    <xf numFmtId="0" fontId="1" fillId="32" borderId="34" xfId="0" applyFont="1" applyFill="1" applyBorder="1" applyAlignment="1" applyProtection="1">
      <alignment wrapText="1"/>
      <protection locked="0"/>
    </xf>
    <xf numFmtId="0" fontId="1" fillId="32" borderId="34" xfId="0" applyFont="1" applyFill="1" applyBorder="1" applyProtection="1">
      <protection locked="0"/>
    </xf>
    <xf numFmtId="4" fontId="4" fillId="28" borderId="0" xfId="0" applyNumberFormat="1" applyFont="1" applyFill="1"/>
    <xf numFmtId="2" fontId="4" fillId="28" borderId="0" xfId="0" applyNumberFormat="1" applyFont="1" applyFill="1"/>
    <xf numFmtId="0" fontId="1" fillId="28" borderId="0" xfId="0" applyFont="1" applyFill="1" applyAlignment="1">
      <alignment horizontal="right"/>
    </xf>
    <xf numFmtId="0" fontId="4" fillId="25" borderId="0" xfId="0" applyFont="1" applyFill="1" applyBorder="1" applyAlignment="1">
      <alignment horizontal="left" wrapText="1" indent="2"/>
    </xf>
    <xf numFmtId="0" fontId="1" fillId="25" borderId="0" xfId="0" applyFont="1" applyFill="1" applyBorder="1" applyAlignment="1">
      <alignment horizontal="left" wrapText="1" indent="2"/>
    </xf>
    <xf numFmtId="0" fontId="3" fillId="31" borderId="0" xfId="0" applyFont="1" applyFill="1" applyBorder="1" applyAlignment="1">
      <alignment horizontal="left"/>
    </xf>
    <xf numFmtId="0" fontId="38" fillId="28" borderId="0" xfId="0" applyFont="1" applyFill="1" applyBorder="1" applyAlignment="1">
      <alignment horizontal="left" wrapText="1"/>
    </xf>
    <xf numFmtId="1" fontId="3" fillId="28" borderId="0" xfId="0" applyNumberFormat="1" applyFont="1" applyFill="1" applyBorder="1" applyAlignment="1">
      <alignment horizontal="right"/>
    </xf>
    <xf numFmtId="0" fontId="1" fillId="27" borderId="24" xfId="0" applyFont="1" applyFill="1" applyBorder="1" applyAlignment="1" applyProtection="1">
      <alignment horizontal="right" vertical="top"/>
      <protection locked="0"/>
    </xf>
    <xf numFmtId="4" fontId="1" fillId="28" borderId="0" xfId="0" applyNumberFormat="1" applyFont="1" applyFill="1" applyBorder="1" applyAlignment="1" applyProtection="1">
      <alignment wrapText="1"/>
      <protection locked="0"/>
    </xf>
    <xf numFmtId="4" fontId="1" fillId="32" borderId="30" xfId="0" applyNumberFormat="1" applyFont="1" applyFill="1" applyBorder="1" applyAlignment="1" applyProtection="1">
      <alignment wrapText="1"/>
      <protection locked="0"/>
    </xf>
    <xf numFmtId="2" fontId="1" fillId="28" borderId="0" xfId="0" applyNumberFormat="1" applyFont="1" applyFill="1" applyBorder="1" applyAlignment="1" applyProtection="1">
      <alignment wrapText="1"/>
      <protection locked="0"/>
    </xf>
    <xf numFmtId="2" fontId="1" fillId="32" borderId="30" xfId="0" applyNumberFormat="1" applyFont="1" applyFill="1" applyBorder="1" applyAlignment="1" applyProtection="1">
      <alignment wrapText="1"/>
      <protection locked="0"/>
    </xf>
    <xf numFmtId="0" fontId="38" fillId="25" borderId="0" xfId="0" applyFont="1" applyFill="1" applyBorder="1" applyAlignment="1">
      <alignment horizontal="left" vertical="top" indent="1"/>
    </xf>
    <xf numFmtId="0" fontId="38" fillId="28" borderId="0" xfId="0" applyFont="1" applyFill="1" applyBorder="1" applyAlignment="1">
      <alignment horizontal="left" vertical="top" indent="1"/>
    </xf>
    <xf numFmtId="0" fontId="4" fillId="28" borderId="0" xfId="0" quotePrefix="1" applyFont="1" applyFill="1" applyBorder="1" applyAlignment="1">
      <alignment horizontal="left" vertical="top" indent="1"/>
    </xf>
    <xf numFmtId="0" fontId="4" fillId="25" borderId="22" xfId="0" applyFont="1" applyFill="1" applyBorder="1" applyAlignment="1">
      <alignment horizontal="left" vertical="top" indent="1"/>
    </xf>
    <xf numFmtId="0" fontId="38" fillId="25" borderId="22" xfId="0" applyFont="1" applyFill="1" applyBorder="1" applyAlignment="1">
      <alignment horizontal="left" vertical="top" indent="1"/>
    </xf>
    <xf numFmtId="0" fontId="4" fillId="25" borderId="0" xfId="0" applyFont="1" applyFill="1" applyAlignment="1">
      <alignment horizontal="left" vertical="top" indent="1"/>
    </xf>
    <xf numFmtId="1" fontId="4" fillId="25" borderId="22" xfId="0" applyNumberFormat="1" applyFont="1" applyFill="1" applyBorder="1" applyAlignment="1">
      <alignment horizontal="right" vertical="top"/>
    </xf>
    <xf numFmtId="0" fontId="38" fillId="28" borderId="12" xfId="0" applyFont="1" applyFill="1" applyBorder="1" applyAlignment="1">
      <alignment horizontal="left" vertical="top" indent="1"/>
    </xf>
    <xf numFmtId="0" fontId="37" fillId="28" borderId="0" xfId="69" applyFont="1" applyFill="1" applyBorder="1" applyAlignment="1" applyProtection="1">
      <alignment vertical="center"/>
    </xf>
    <xf numFmtId="0" fontId="76" fillId="28" borderId="0" xfId="69" applyFont="1" applyFill="1" applyBorder="1" applyAlignment="1" applyProtection="1">
      <alignment vertical="center"/>
    </xf>
    <xf numFmtId="0" fontId="1" fillId="28" borderId="0" xfId="0" applyFont="1" applyFill="1" applyBorder="1" applyAlignment="1">
      <alignment horizontal="centerContinuous" wrapText="1"/>
    </xf>
    <xf numFmtId="0" fontId="1" fillId="28" borderId="12" xfId="0" applyFont="1" applyFill="1" applyBorder="1" applyAlignment="1">
      <alignment horizontal="left" vertical="top" indent="1"/>
    </xf>
    <xf numFmtId="3" fontId="4" fillId="28" borderId="12" xfId="0" applyNumberFormat="1" applyFont="1" applyFill="1" applyBorder="1" applyAlignment="1">
      <alignment horizontal="left" vertical="top" wrapText="1"/>
    </xf>
    <xf numFmtId="0" fontId="38" fillId="25" borderId="12" xfId="0" applyFont="1" applyFill="1" applyBorder="1" applyAlignment="1">
      <alignment horizontal="left" wrapText="1" indent="1"/>
    </xf>
    <xf numFmtId="1" fontId="3" fillId="25" borderId="12" xfId="0" applyNumberFormat="1" applyFont="1" applyFill="1" applyBorder="1" applyAlignment="1">
      <alignment vertical="top"/>
    </xf>
    <xf numFmtId="0" fontId="3" fillId="25" borderId="12" xfId="0" applyFont="1" applyFill="1" applyBorder="1" applyAlignment="1">
      <alignment vertical="top"/>
    </xf>
    <xf numFmtId="3" fontId="4" fillId="25" borderId="12" xfId="0" applyNumberFormat="1" applyFont="1" applyFill="1" applyBorder="1" applyAlignment="1">
      <alignment vertical="top" wrapText="1"/>
    </xf>
    <xf numFmtId="0" fontId="77" fillId="0" borderId="0" xfId="0" applyFont="1"/>
    <xf numFmtId="0" fontId="0" fillId="38" borderId="30" xfId="0" applyFill="1" applyBorder="1"/>
    <xf numFmtId="0" fontId="0" fillId="0" borderId="35" xfId="0" applyBorder="1"/>
    <xf numFmtId="0" fontId="0" fillId="0" borderId="17" xfId="0" applyBorder="1"/>
    <xf numFmtId="0" fontId="0" fillId="0" borderId="36" xfId="0" applyBorder="1"/>
    <xf numFmtId="9" fontId="0" fillId="38" borderId="30" xfId="0" applyNumberFormat="1" applyFill="1" applyBorder="1"/>
    <xf numFmtId="0" fontId="77" fillId="0" borderId="37" xfId="0" applyFont="1" applyBorder="1"/>
    <xf numFmtId="0" fontId="0" fillId="0" borderId="12" xfId="0" applyBorder="1"/>
    <xf numFmtId="0" fontId="77" fillId="0" borderId="12" xfId="0" applyFont="1" applyBorder="1"/>
    <xf numFmtId="0" fontId="0" fillId="0" borderId="38" xfId="0" applyBorder="1"/>
    <xf numFmtId="9" fontId="0" fillId="0" borderId="0" xfId="0" applyNumberFormat="1"/>
    <xf numFmtId="2" fontId="0" fillId="0" borderId="0" xfId="0" applyNumberFormat="1"/>
    <xf numFmtId="1" fontId="0" fillId="0" borderId="0" xfId="0" applyNumberFormat="1"/>
    <xf numFmtId="0" fontId="77" fillId="36" borderId="35" xfId="0" applyFont="1" applyFill="1" applyBorder="1"/>
    <xf numFmtId="0" fontId="0" fillId="36" borderId="17" xfId="0" applyFill="1" applyBorder="1"/>
    <xf numFmtId="0" fontId="0" fillId="36" borderId="36" xfId="0" applyFill="1" applyBorder="1"/>
    <xf numFmtId="0" fontId="0" fillId="0" borderId="14" xfId="0" applyBorder="1"/>
    <xf numFmtId="0" fontId="0" fillId="0" borderId="39" xfId="0" applyBorder="1"/>
    <xf numFmtId="0" fontId="0" fillId="0" borderId="40" xfId="0" applyBorder="1"/>
    <xf numFmtId="0" fontId="0" fillId="0" borderId="41" xfId="0" applyBorder="1"/>
    <xf numFmtId="1" fontId="0" fillId="0" borderId="41" xfId="0" applyNumberFormat="1" applyBorder="1"/>
    <xf numFmtId="0" fontId="0" fillId="0" borderId="37" xfId="0" applyBorder="1"/>
    <xf numFmtId="1" fontId="77" fillId="0" borderId="12" xfId="0" applyNumberFormat="1" applyFont="1" applyBorder="1"/>
    <xf numFmtId="1" fontId="77" fillId="0" borderId="0" xfId="0" applyNumberFormat="1" applyFont="1"/>
    <xf numFmtId="0" fontId="77" fillId="39" borderId="35" xfId="0" applyFont="1" applyFill="1" applyBorder="1"/>
    <xf numFmtId="0" fontId="0" fillId="39" borderId="17" xfId="0" applyFill="1" applyBorder="1"/>
    <xf numFmtId="1" fontId="0" fillId="39" borderId="17" xfId="0" applyNumberFormat="1" applyFill="1" applyBorder="1"/>
    <xf numFmtId="0" fontId="0" fillId="39" borderId="36" xfId="0" applyFill="1" applyBorder="1"/>
    <xf numFmtId="0" fontId="0" fillId="0" borderId="30" xfId="0" applyBorder="1"/>
    <xf numFmtId="168" fontId="0" fillId="0" borderId="0" xfId="0" applyNumberFormat="1"/>
    <xf numFmtId="1" fontId="0" fillId="0" borderId="12" xfId="0" applyNumberFormat="1" applyBorder="1"/>
    <xf numFmtId="0" fontId="78" fillId="0" borderId="0" xfId="0" applyFont="1"/>
    <xf numFmtId="168" fontId="78" fillId="0" borderId="0" xfId="0" applyNumberFormat="1" applyFont="1"/>
    <xf numFmtId="0" fontId="77" fillId="0" borderId="35" xfId="0" applyFont="1" applyBorder="1"/>
    <xf numFmtId="0" fontId="77" fillId="0" borderId="14" xfId="0" applyFont="1" applyBorder="1"/>
    <xf numFmtId="2" fontId="77" fillId="0" borderId="0" xfId="0" applyNumberFormat="1" applyFont="1"/>
    <xf numFmtId="0" fontId="0" fillId="0" borderId="0" xfId="0" applyAlignment="1">
      <alignment horizontal="right"/>
    </xf>
    <xf numFmtId="166" fontId="0" fillId="0" borderId="0" xfId="0" applyNumberFormat="1"/>
    <xf numFmtId="4" fontId="0" fillId="0" borderId="0" xfId="0" applyNumberFormat="1"/>
    <xf numFmtId="0" fontId="77" fillId="0" borderId="0" xfId="0" applyFont="1" applyAlignment="1">
      <alignment wrapText="1"/>
    </xf>
    <xf numFmtId="0" fontId="0" fillId="0" borderId="0" xfId="0" applyAlignment="1">
      <alignment textRotation="90"/>
    </xf>
    <xf numFmtId="9" fontId="0" fillId="0" borderId="0" xfId="403" applyFont="1"/>
    <xf numFmtId="2" fontId="0" fillId="0" borderId="41" xfId="0" applyNumberFormat="1" applyBorder="1"/>
    <xf numFmtId="0" fontId="77" fillId="0" borderId="42" xfId="0" applyFont="1" applyBorder="1"/>
    <xf numFmtId="1" fontId="77" fillId="0" borderId="43" xfId="0" applyNumberFormat="1" applyFont="1" applyBorder="1"/>
    <xf numFmtId="0" fontId="0" fillId="0" borderId="44" xfId="0" applyBorder="1" applyAlignment="1">
      <alignment horizontal="left" indent="1"/>
    </xf>
    <xf numFmtId="1" fontId="0" fillId="0" borderId="45" xfId="0" applyNumberFormat="1" applyBorder="1"/>
    <xf numFmtId="0" fontId="77" fillId="0" borderId="44" xfId="0" applyFont="1" applyBorder="1"/>
    <xf numFmtId="1" fontId="77" fillId="0" borderId="45" xfId="0" applyNumberFormat="1" applyFont="1" applyBorder="1"/>
    <xf numFmtId="0" fontId="0" fillId="0" borderId="46" xfId="0" applyBorder="1" applyAlignment="1">
      <alignment horizontal="left" indent="1"/>
    </xf>
    <xf numFmtId="1" fontId="0" fillId="0" borderId="47" xfId="0" applyNumberFormat="1" applyBorder="1"/>
    <xf numFmtId="0" fontId="77" fillId="0" borderId="48" xfId="0" applyFont="1" applyFill="1" applyBorder="1" applyAlignment="1">
      <alignment horizontal="left"/>
    </xf>
    <xf numFmtId="0" fontId="0" fillId="0" borderId="12" xfId="0" applyFill="1" applyBorder="1"/>
    <xf numFmtId="166" fontId="77" fillId="0" borderId="49" xfId="0" applyNumberFormat="1" applyFont="1" applyBorder="1"/>
    <xf numFmtId="0" fontId="0" fillId="0" borderId="0" xfId="0" applyBorder="1"/>
    <xf numFmtId="1" fontId="0" fillId="0" borderId="0" xfId="0" applyNumberFormat="1" applyBorder="1"/>
    <xf numFmtId="0" fontId="77" fillId="0" borderId="0" xfId="0" applyFont="1" applyAlignment="1"/>
    <xf numFmtId="0" fontId="4" fillId="28" borderId="0" xfId="69" applyFont="1" applyFill="1" applyAlignment="1">
      <alignment vertical="center"/>
    </xf>
    <xf numFmtId="0" fontId="3" fillId="0" borderId="0" xfId="424" applyFont="1" applyFill="1" applyBorder="1"/>
    <xf numFmtId="0" fontId="4" fillId="0" borderId="0" xfId="424" applyFont="1" applyFill="1" applyBorder="1" applyAlignment="1">
      <alignment horizontal="left" vertical="center" wrapText="1" readingOrder="1"/>
    </xf>
    <xf numFmtId="0" fontId="38" fillId="0" borderId="0" xfId="424" applyFont="1" applyFill="1" applyBorder="1" applyAlignment="1">
      <alignment horizontal="left" vertical="center" wrapText="1" readingOrder="1"/>
    </xf>
    <xf numFmtId="0" fontId="79" fillId="35" borderId="0" xfId="424" applyFont="1" applyFill="1" applyAlignment="1">
      <alignment horizontal="left" vertical="top" wrapText="1" readingOrder="1"/>
    </xf>
    <xf numFmtId="0" fontId="3" fillId="31" borderId="0" xfId="0" applyFont="1" applyFill="1" applyAlignment="1">
      <alignment horizontal="left" vertical="top"/>
    </xf>
    <xf numFmtId="2" fontId="1" fillId="0" borderId="0" xfId="0" applyNumberFormat="1" applyFont="1" applyFill="1" applyBorder="1" applyAlignment="1" applyProtection="1">
      <alignment horizontal="right" vertical="top" wrapText="1"/>
      <protection locked="0"/>
    </xf>
    <xf numFmtId="0" fontId="1" fillId="0" borderId="0" xfId="0" applyFont="1" applyFill="1" applyBorder="1" applyAlignment="1" applyProtection="1">
      <alignment horizontal="left" vertical="top" wrapText="1"/>
      <protection locked="0"/>
    </xf>
    <xf numFmtId="0" fontId="55" fillId="28" borderId="0" xfId="0" applyFont="1" applyFill="1" applyAlignment="1">
      <alignment vertical="top" wrapText="1"/>
    </xf>
    <xf numFmtId="0" fontId="55" fillId="28" borderId="0" xfId="0" applyFont="1" applyFill="1" applyAlignment="1">
      <alignment wrapText="1"/>
    </xf>
    <xf numFmtId="0" fontId="55" fillId="28" borderId="0" xfId="0" applyFont="1" applyFill="1" applyAlignment="1"/>
    <xf numFmtId="0" fontId="3" fillId="28" borderId="0" xfId="0" applyFont="1" applyFill="1" applyAlignment="1">
      <alignment horizontal="center" wrapText="1"/>
    </xf>
    <xf numFmtId="0" fontId="4" fillId="25" borderId="12" xfId="0" applyFont="1" applyFill="1" applyBorder="1" applyAlignment="1">
      <alignment vertical="top"/>
    </xf>
    <xf numFmtId="0" fontId="3" fillId="28" borderId="12" xfId="0" applyFont="1" applyFill="1" applyBorder="1"/>
    <xf numFmtId="43" fontId="4" fillId="25" borderId="0" xfId="0" applyNumberFormat="1" applyFont="1" applyFill="1" applyBorder="1" applyAlignment="1">
      <alignment horizontal="right" vertical="top" indent="3"/>
    </xf>
    <xf numFmtId="0" fontId="3" fillId="28" borderId="0" xfId="424" applyFont="1" applyFill="1" applyBorder="1"/>
    <xf numFmtId="0" fontId="3" fillId="28" borderId="0" xfId="424" applyFont="1" applyFill="1" applyBorder="1" applyAlignment="1">
      <alignment wrapText="1"/>
    </xf>
    <xf numFmtId="0" fontId="4" fillId="27" borderId="24" xfId="0" applyFont="1" applyFill="1" applyBorder="1" applyAlignment="1" applyProtection="1">
      <alignment wrapText="1"/>
      <protection locked="0"/>
    </xf>
    <xf numFmtId="0" fontId="1" fillId="32" borderId="30" xfId="0" applyFont="1" applyFill="1" applyBorder="1" applyAlignment="1" applyProtection="1">
      <alignment horizontal="right"/>
      <protection locked="0"/>
    </xf>
    <xf numFmtId="2" fontId="1" fillId="28" borderId="0" xfId="0" applyNumberFormat="1" applyFont="1" applyFill="1" applyBorder="1" applyAlignment="1" applyProtection="1">
      <alignment horizontal="right"/>
    </xf>
    <xf numFmtId="0" fontId="32" fillId="28" borderId="0" xfId="404" applyFill="1" applyBorder="1" applyAlignment="1" applyProtection="1">
      <alignment vertical="center"/>
    </xf>
    <xf numFmtId="3" fontId="32" fillId="28" borderId="0" xfId="404" applyNumberFormat="1" applyFill="1" applyBorder="1" applyAlignment="1" applyProtection="1">
      <alignment vertical="center"/>
    </xf>
    <xf numFmtId="0" fontId="3" fillId="28" borderId="0" xfId="0" applyFont="1" applyFill="1" applyBorder="1" applyAlignment="1">
      <alignment horizontal="left"/>
    </xf>
    <xf numFmtId="0" fontId="55" fillId="28" borderId="0" xfId="0" applyFont="1" applyFill="1" applyAlignment="1">
      <alignment horizontal="center"/>
    </xf>
    <xf numFmtId="0" fontId="3" fillId="28" borderId="0" xfId="0" applyFont="1" applyFill="1" applyBorder="1" applyAlignment="1">
      <alignment horizontal="center"/>
    </xf>
    <xf numFmtId="0" fontId="55" fillId="28" borderId="0" xfId="0" applyFont="1" applyFill="1" applyAlignment="1">
      <alignment horizontal="center" vertical="top" wrapText="1"/>
    </xf>
    <xf numFmtId="0" fontId="55" fillId="28" borderId="0" xfId="0" applyFont="1" applyFill="1" applyAlignment="1">
      <alignment horizontal="center" wrapText="1"/>
    </xf>
    <xf numFmtId="0" fontId="1" fillId="28" borderId="0" xfId="0" applyFont="1" applyFill="1" applyBorder="1" applyAlignment="1">
      <alignment horizontal="center" vertical="top" wrapText="1"/>
    </xf>
    <xf numFmtId="0" fontId="1" fillId="27" borderId="31" xfId="0" applyFont="1" applyFill="1" applyBorder="1" applyAlignment="1" applyProtection="1">
      <alignment horizontal="left"/>
      <protection locked="0"/>
    </xf>
    <xf numFmtId="0" fontId="1" fillId="27" borderId="32" xfId="0" applyFont="1" applyFill="1" applyBorder="1" applyAlignment="1" applyProtection="1">
      <alignment horizontal="left"/>
      <protection locked="0"/>
    </xf>
    <xf numFmtId="0" fontId="1" fillId="27" borderId="18" xfId="0" applyFont="1" applyFill="1" applyBorder="1" applyAlignment="1" applyProtection="1">
      <alignment horizontal="right" vertical="top"/>
      <protection locked="0"/>
    </xf>
    <xf numFmtId="0" fontId="1" fillId="27" borderId="19" xfId="0" applyFont="1" applyFill="1" applyBorder="1" applyAlignment="1" applyProtection="1">
      <alignment horizontal="right" vertical="top"/>
      <protection locked="0"/>
    </xf>
    <xf numFmtId="0" fontId="55" fillId="28" borderId="0" xfId="0" applyFont="1" applyFill="1" applyBorder="1" applyAlignment="1">
      <alignment horizontal="center"/>
    </xf>
    <xf numFmtId="0" fontId="38" fillId="28" borderId="0" xfId="0" applyFont="1" applyFill="1" applyBorder="1" applyAlignment="1">
      <alignment horizontal="center" vertical="top" wrapText="1"/>
    </xf>
    <xf numFmtId="0" fontId="3" fillId="28" borderId="0" xfId="0" applyFont="1" applyFill="1" applyBorder="1" applyAlignment="1">
      <alignment horizontal="center" wrapText="1"/>
    </xf>
    <xf numFmtId="0" fontId="1" fillId="28" borderId="0" xfId="0" applyFont="1" applyFill="1" applyBorder="1" applyAlignment="1">
      <alignment horizontal="center" wrapText="1"/>
    </xf>
    <xf numFmtId="0" fontId="4" fillId="28" borderId="0" xfId="0" applyFont="1" applyFill="1" applyBorder="1" applyAlignment="1">
      <alignment horizontal="left" vertical="top" wrapText="1"/>
    </xf>
    <xf numFmtId="0" fontId="55" fillId="28" borderId="0" xfId="0" applyFont="1" applyFill="1" applyBorder="1" applyAlignment="1">
      <alignment horizontal="left" vertical="top" wrapText="1"/>
    </xf>
    <xf numFmtId="0" fontId="3" fillId="26" borderId="0" xfId="0" applyFont="1" applyFill="1" applyBorder="1" applyAlignment="1">
      <alignment horizontal="center" wrapText="1"/>
    </xf>
    <xf numFmtId="0" fontId="3" fillId="26" borderId="22" xfId="0" applyFont="1" applyFill="1" applyBorder="1" applyAlignment="1">
      <alignment horizontal="center" wrapText="1"/>
    </xf>
    <xf numFmtId="0" fontId="3" fillId="26" borderId="22" xfId="0" applyFont="1" applyFill="1" applyBorder="1" applyAlignment="1">
      <alignment horizontal="center"/>
    </xf>
  </cellXfs>
  <cellStyles count="439">
    <cellStyle name="20% - Akzent1" xfId="3" xr:uid="{00000000-0005-0000-0000-000000000000}"/>
    <cellStyle name="20% - Akzent2" xfId="4" xr:uid="{00000000-0005-0000-0000-000001000000}"/>
    <cellStyle name="20% - Akzent3" xfId="5" xr:uid="{00000000-0005-0000-0000-000002000000}"/>
    <cellStyle name="20% - Akzent4" xfId="6" xr:uid="{00000000-0005-0000-0000-000003000000}"/>
    <cellStyle name="20% - Akzent5" xfId="7" xr:uid="{00000000-0005-0000-0000-000004000000}"/>
    <cellStyle name="20% - Akzent6" xfId="8" xr:uid="{00000000-0005-0000-0000-000005000000}"/>
    <cellStyle name="2x indented GHG Textfiels" xfId="9" xr:uid="{00000000-0005-0000-0000-000006000000}"/>
    <cellStyle name="2x indented GHG Textfiels 2" xfId="427" xr:uid="{00000000-0005-0000-0000-000007000000}"/>
    <cellStyle name="40% - Akzent1" xfId="10" xr:uid="{00000000-0005-0000-0000-000008000000}"/>
    <cellStyle name="40% - Akzent2" xfId="11" xr:uid="{00000000-0005-0000-0000-000009000000}"/>
    <cellStyle name="40% - Akzent3" xfId="12" xr:uid="{00000000-0005-0000-0000-00000A000000}"/>
    <cellStyle name="40% - Akzent4" xfId="13" xr:uid="{00000000-0005-0000-0000-00000B000000}"/>
    <cellStyle name="40% - Akzent5" xfId="14" xr:uid="{00000000-0005-0000-0000-00000C000000}"/>
    <cellStyle name="40% - Akzent6" xfId="15" xr:uid="{00000000-0005-0000-0000-00000D000000}"/>
    <cellStyle name="60% - Akzent1" xfId="16" xr:uid="{00000000-0005-0000-0000-00000E000000}"/>
    <cellStyle name="60% - Akzent2" xfId="17" xr:uid="{00000000-0005-0000-0000-00000F000000}"/>
    <cellStyle name="60% - Akzent3" xfId="18" xr:uid="{00000000-0005-0000-0000-000010000000}"/>
    <cellStyle name="60% - Akzent4" xfId="19" xr:uid="{00000000-0005-0000-0000-000011000000}"/>
    <cellStyle name="60% - Akzent5" xfId="20" xr:uid="{00000000-0005-0000-0000-000012000000}"/>
    <cellStyle name="60% - Akzent6" xfId="21" xr:uid="{00000000-0005-0000-0000-000013000000}"/>
    <cellStyle name="Akzent1 2" xfId="22" xr:uid="{00000000-0005-0000-0000-000014000000}"/>
    <cellStyle name="Akzent2 2" xfId="23" xr:uid="{00000000-0005-0000-0000-000015000000}"/>
    <cellStyle name="Akzent3 2" xfId="24" xr:uid="{00000000-0005-0000-0000-000016000000}"/>
    <cellStyle name="Akzent4 2" xfId="25" xr:uid="{00000000-0005-0000-0000-000017000000}"/>
    <cellStyle name="Akzent5 2" xfId="26" xr:uid="{00000000-0005-0000-0000-000018000000}"/>
    <cellStyle name="Akzent6 2" xfId="27" xr:uid="{00000000-0005-0000-0000-000019000000}"/>
    <cellStyle name="Ausgabe 2" xfId="28" xr:uid="{00000000-0005-0000-0000-00001A000000}"/>
    <cellStyle name="Ausgabe 2 2" xfId="428" xr:uid="{00000000-0005-0000-0000-00001B000000}"/>
    <cellStyle name="Berechnung 2" xfId="29" xr:uid="{00000000-0005-0000-0000-00001C000000}"/>
    <cellStyle name="Berechnung 2 2" xfId="429" xr:uid="{00000000-0005-0000-0000-00001D000000}"/>
    <cellStyle name="Besuchter Hyperlink" xfId="79" builtinId="9" hidden="1"/>
    <cellStyle name="Besuchter Hyperlink" xfId="81" builtinId="9" hidden="1"/>
    <cellStyle name="Besuchter Hyperlink" xfId="83" builtinId="9" hidden="1"/>
    <cellStyle name="Besuchter Hyperlink" xfId="85" builtinId="9" hidden="1"/>
    <cellStyle name="Besuchter Hyperlink" xfId="87" builtinId="9" hidden="1"/>
    <cellStyle name="Besuchter Hyperlink" xfId="89" builtinId="9" hidden="1"/>
    <cellStyle name="Besuchter Hyperlink" xfId="91" builtinId="9" hidden="1"/>
    <cellStyle name="Besuchter Hyperlink" xfId="93" builtinId="9" hidden="1"/>
    <cellStyle name="Besuchter Hyperlink" xfId="95" builtinId="9" hidden="1"/>
    <cellStyle name="Besuchter Hyperlink" xfId="97" builtinId="9" hidden="1"/>
    <cellStyle name="Besuchter Hyperlink" xfId="99" builtinId="9" hidden="1"/>
    <cellStyle name="Besuchter Hyperlink" xfId="101" builtinId="9" hidden="1"/>
    <cellStyle name="Besuchter Hyperlink" xfId="103" builtinId="9" hidden="1"/>
    <cellStyle name="Besuchter Hyperlink" xfId="105" builtinId="9" hidden="1"/>
    <cellStyle name="Besuchter Hyperlink" xfId="107" builtinId="9" hidden="1"/>
    <cellStyle name="Besuchter Hyperlink" xfId="109" builtinId="9" hidden="1"/>
    <cellStyle name="Besuchter Hyperlink" xfId="111" builtinId="9" hidden="1"/>
    <cellStyle name="Besuchter Hyperlink" xfId="113" builtinId="9" hidden="1"/>
    <cellStyle name="Besuchter Hyperlink" xfId="115" builtinId="9" hidden="1"/>
    <cellStyle name="Besuchter Hyperlink" xfId="117" builtinId="9" hidden="1"/>
    <cellStyle name="Besuchter Hyperlink" xfId="119" builtinId="9" hidden="1"/>
    <cellStyle name="Besuchter Hyperlink" xfId="121" builtinId="9" hidden="1"/>
    <cellStyle name="Besuchter Hyperlink" xfId="123" builtinId="9" hidden="1"/>
    <cellStyle name="Besuchter Hyperlink" xfId="125" builtinId="9" hidden="1"/>
    <cellStyle name="Besuchter Hyperlink" xfId="127" builtinId="9" hidden="1"/>
    <cellStyle name="Besuchter Hyperlink" xfId="129" builtinId="9" hidden="1"/>
    <cellStyle name="Besuchter Hyperlink" xfId="131" builtinId="9" hidden="1"/>
    <cellStyle name="Besuchter Hyperlink" xfId="133" builtinId="9" hidden="1"/>
    <cellStyle name="Besuchter Hyperlink" xfId="135" builtinId="9" hidden="1"/>
    <cellStyle name="Besuchter Hyperlink" xfId="137" builtinId="9" hidden="1"/>
    <cellStyle name="Besuchter Hyperlink" xfId="139" builtinId="9" hidden="1"/>
    <cellStyle name="Besuchter Hyperlink" xfId="141" builtinId="9" hidden="1"/>
    <cellStyle name="Besuchter Hyperlink" xfId="143" builtinId="9" hidden="1"/>
    <cellStyle name="Besuchter Hyperlink" xfId="145" builtinId="9" hidden="1"/>
    <cellStyle name="Besuchter Hyperlink" xfId="147" builtinId="9" hidden="1"/>
    <cellStyle name="Besuchter Hyperlink" xfId="149" builtinId="9" hidden="1"/>
    <cellStyle name="Besuchter Hyperlink" xfId="151" builtinId="9" hidden="1"/>
    <cellStyle name="Besuchter Hyperlink" xfId="153" builtinId="9" hidden="1"/>
    <cellStyle name="Besuchter Hyperlink" xfId="155" builtinId="9" hidden="1"/>
    <cellStyle name="Besuchter Hyperlink" xfId="157" builtinId="9" hidden="1"/>
    <cellStyle name="Besuchter Hyperlink" xfId="159" builtinId="9" hidden="1"/>
    <cellStyle name="Besuchter Hyperlink" xfId="161" builtinId="9" hidden="1"/>
    <cellStyle name="Besuchter Hyperlink" xfId="163" builtinId="9" hidden="1"/>
    <cellStyle name="Besuchter Hyperlink" xfId="165" builtinId="9" hidden="1"/>
    <cellStyle name="Besuchter Hyperlink" xfId="167" builtinId="9" hidden="1"/>
    <cellStyle name="Besuchter Hyperlink" xfId="169" builtinId="9" hidden="1"/>
    <cellStyle name="Besuchter Hyperlink" xfId="171" builtinId="9" hidden="1"/>
    <cellStyle name="Besuchter Hyperlink" xfId="173" builtinId="9" hidden="1"/>
    <cellStyle name="Besuchter Hyperlink" xfId="175" builtinId="9" hidden="1"/>
    <cellStyle name="Besuchter Hyperlink" xfId="177" builtinId="9" hidden="1"/>
    <cellStyle name="Besuchter Hyperlink" xfId="179" builtinId="9" hidden="1"/>
    <cellStyle name="Besuchter Hyperlink" xfId="181" builtinId="9" hidden="1"/>
    <cellStyle name="Besuchter Hyperlink" xfId="183" builtinId="9" hidden="1"/>
    <cellStyle name="Besuchter Hyperlink" xfId="185" builtinId="9" hidden="1"/>
    <cellStyle name="Besuchter Hyperlink" xfId="187" builtinId="9" hidden="1"/>
    <cellStyle name="Besuchter Hyperlink" xfId="189" builtinId="9" hidden="1"/>
    <cellStyle name="Besuchter Hyperlink" xfId="191" builtinId="9" hidden="1"/>
    <cellStyle name="Besuchter Hyperlink" xfId="193" builtinId="9" hidden="1"/>
    <cellStyle name="Besuchter Hyperlink" xfId="195" builtinId="9" hidden="1"/>
    <cellStyle name="Besuchter Hyperlink" xfId="197" builtinId="9" hidden="1"/>
    <cellStyle name="Besuchter Hyperlink" xfId="199" builtinId="9" hidden="1"/>
    <cellStyle name="Besuchter Hyperlink" xfId="201" builtinId="9" hidden="1"/>
    <cellStyle name="Besuchter Hyperlink" xfId="203" builtinId="9" hidden="1"/>
    <cellStyle name="Besuchter Hyperlink" xfId="205" builtinId="9" hidden="1"/>
    <cellStyle name="Besuchter Hyperlink" xfId="207" builtinId="9" hidden="1"/>
    <cellStyle name="Besuchter Hyperlink" xfId="209" builtinId="9" hidden="1"/>
    <cellStyle name="Besuchter Hyperlink" xfId="211" builtinId="9" hidden="1"/>
    <cellStyle name="Besuchter Hyperlink" xfId="213" builtinId="9" hidden="1"/>
    <cellStyle name="Besuchter Hyperlink" xfId="215" builtinId="9" hidden="1"/>
    <cellStyle name="Besuchter Hyperlink" xfId="217" builtinId="9" hidden="1"/>
    <cellStyle name="Besuchter Hyperlink" xfId="219" builtinId="9" hidden="1"/>
    <cellStyle name="Besuchter Hyperlink" xfId="221" builtinId="9" hidden="1"/>
    <cellStyle name="Besuchter Hyperlink" xfId="223" builtinId="9" hidden="1"/>
    <cellStyle name="Besuchter Hyperlink" xfId="225" builtinId="9" hidden="1"/>
    <cellStyle name="Besuchter Hyperlink" xfId="227" builtinId="9" hidden="1"/>
    <cellStyle name="Besuchter Hyperlink" xfId="229" builtinId="9" hidden="1"/>
    <cellStyle name="Besuchter Hyperlink" xfId="231" builtinId="9" hidden="1"/>
    <cellStyle name="Besuchter Hyperlink" xfId="233" builtinId="9" hidden="1"/>
    <cellStyle name="Besuchter Hyperlink" xfId="235" builtinId="9" hidden="1"/>
    <cellStyle name="Besuchter Hyperlink" xfId="237" builtinId="9" hidden="1"/>
    <cellStyle name="Besuchter Hyperlink" xfId="239" builtinId="9" hidden="1"/>
    <cellStyle name="Besuchter Hyperlink" xfId="241" builtinId="9" hidden="1"/>
    <cellStyle name="Besuchter Hyperlink" xfId="243" builtinId="9" hidden="1"/>
    <cellStyle name="Besuchter Hyperlink" xfId="245" builtinId="9" hidden="1"/>
    <cellStyle name="Besuchter Hyperlink" xfId="247" builtinId="9" hidden="1"/>
    <cellStyle name="Besuchter Hyperlink" xfId="249" builtinId="9" hidden="1"/>
    <cellStyle name="Besuchter Hyperlink" xfId="251" builtinId="9" hidden="1"/>
    <cellStyle name="Besuchter Hyperlink" xfId="253" builtinId="9" hidden="1"/>
    <cellStyle name="Besuchter Hyperlink" xfId="255" builtinId="9" hidden="1"/>
    <cellStyle name="Besuchter Hyperlink" xfId="257" builtinId="9" hidden="1"/>
    <cellStyle name="Besuchter Hyperlink" xfId="259" builtinId="9" hidden="1"/>
    <cellStyle name="Besuchter Hyperlink" xfId="261" builtinId="9" hidden="1"/>
    <cellStyle name="Besuchter Hyperlink" xfId="263" builtinId="9" hidden="1"/>
    <cellStyle name="Besuchter Hyperlink" xfId="265" builtinId="9" hidden="1"/>
    <cellStyle name="Besuchter Hyperlink" xfId="267" builtinId="9" hidden="1"/>
    <cellStyle name="Besuchter Hyperlink" xfId="269" builtinId="9" hidden="1"/>
    <cellStyle name="Besuchter Hyperlink" xfId="271" builtinId="9" hidden="1"/>
    <cellStyle name="Besuchter Hyperlink" xfId="273" builtinId="9" hidden="1"/>
    <cellStyle name="Besuchter Hyperlink" xfId="275" builtinId="9" hidden="1"/>
    <cellStyle name="Besuchter Hyperlink" xfId="277" builtinId="9" hidden="1"/>
    <cellStyle name="Besuchter Hyperlink" xfId="279" builtinId="9" hidden="1"/>
    <cellStyle name="Besuchter Hyperlink" xfId="281" builtinId="9" hidden="1"/>
    <cellStyle name="Besuchter Hyperlink" xfId="283" builtinId="9" hidden="1"/>
    <cellStyle name="Besuchter Hyperlink" xfId="285" builtinId="9" hidden="1"/>
    <cellStyle name="Besuchter Hyperlink" xfId="287" builtinId="9" hidden="1"/>
    <cellStyle name="Besuchter Hyperlink" xfId="289" builtinId="9" hidden="1"/>
    <cellStyle name="Besuchter Hyperlink" xfId="291" builtinId="9" hidden="1"/>
    <cellStyle name="Besuchter Hyperlink" xfId="293" builtinId="9" hidden="1"/>
    <cellStyle name="Besuchter Hyperlink" xfId="295" builtinId="9" hidden="1"/>
    <cellStyle name="Besuchter Hyperlink" xfId="297" builtinId="9" hidden="1"/>
    <cellStyle name="Besuchter Hyperlink" xfId="299" builtinId="9" hidden="1"/>
    <cellStyle name="Besuchter Hyperlink" xfId="301" builtinId="9" hidden="1"/>
    <cellStyle name="Besuchter Hyperlink" xfId="303" builtinId="9" hidden="1"/>
    <cellStyle name="Besuchter Hyperlink" xfId="305" builtinId="9" hidden="1"/>
    <cellStyle name="Besuchter Hyperlink" xfId="307" builtinId="9" hidden="1"/>
    <cellStyle name="Besuchter Hyperlink" xfId="309" builtinId="9" hidden="1"/>
    <cellStyle name="Besuchter Hyperlink" xfId="311" builtinId="9" hidden="1"/>
    <cellStyle name="Besuchter Hyperlink" xfId="313" builtinId="9" hidden="1"/>
    <cellStyle name="Besuchter Hyperlink" xfId="315" builtinId="9" hidden="1"/>
    <cellStyle name="Besuchter Hyperlink" xfId="317" builtinId="9" hidden="1"/>
    <cellStyle name="Besuchter Hyperlink" xfId="319" builtinId="9" hidden="1"/>
    <cellStyle name="Besuchter Hyperlink" xfId="321" builtinId="9" hidden="1"/>
    <cellStyle name="Besuchter Hyperlink" xfId="323" builtinId="9" hidden="1"/>
    <cellStyle name="Besuchter Hyperlink" xfId="325" builtinId="9" hidden="1"/>
    <cellStyle name="Besuchter Hyperlink" xfId="327" builtinId="9" hidden="1"/>
    <cellStyle name="Besuchter Hyperlink" xfId="329" builtinId="9" hidden="1"/>
    <cellStyle name="Besuchter Hyperlink" xfId="331" builtinId="9" hidden="1"/>
    <cellStyle name="Besuchter Hyperlink" xfId="333" builtinId="9" hidden="1"/>
    <cellStyle name="Besuchter Hyperlink" xfId="335" builtinId="9" hidden="1"/>
    <cellStyle name="Besuchter Hyperlink" xfId="337" builtinId="9" hidden="1"/>
    <cellStyle name="Besuchter Hyperlink" xfId="340" builtinId="9" hidden="1"/>
    <cellStyle name="Besuchter Hyperlink" xfId="342" builtinId="9" hidden="1"/>
    <cellStyle name="Besuchter Hyperlink" xfId="344" builtinId="9" hidden="1"/>
    <cellStyle name="Besuchter Hyperlink" xfId="346" builtinId="9" hidden="1"/>
    <cellStyle name="Besuchter Hyperlink" xfId="348" builtinId="9" hidden="1"/>
    <cellStyle name="Besuchter Hyperlink" xfId="350" builtinId="9" hidden="1"/>
    <cellStyle name="Besuchter Hyperlink" xfId="352" builtinId="9" hidden="1"/>
    <cellStyle name="Besuchter Hyperlink" xfId="354" builtinId="9" hidden="1"/>
    <cellStyle name="Besuchter Hyperlink" xfId="356" builtinId="9" hidden="1"/>
    <cellStyle name="Besuchter Hyperlink" xfId="358" builtinId="9" hidden="1"/>
    <cellStyle name="Besuchter Hyperlink" xfId="360" builtinId="9" hidden="1"/>
    <cellStyle name="Besuchter Hyperlink" xfId="362" builtinId="9" hidden="1"/>
    <cellStyle name="Besuchter Hyperlink" xfId="364" builtinId="9" hidden="1"/>
    <cellStyle name="Besuchter Hyperlink" xfId="366" builtinId="9" hidden="1"/>
    <cellStyle name="Besuchter Hyperlink" xfId="368" builtinId="9" hidden="1"/>
    <cellStyle name="Besuchter Hyperlink" xfId="370" builtinId="9" hidden="1"/>
    <cellStyle name="Besuchter Hyperlink" xfId="372" builtinId="9" hidden="1"/>
    <cellStyle name="Besuchter Hyperlink" xfId="374" builtinId="9" hidden="1"/>
    <cellStyle name="Besuchter Hyperlink" xfId="376" builtinId="9" hidden="1"/>
    <cellStyle name="Besuchter Hyperlink" xfId="378" builtinId="9" hidden="1"/>
    <cellStyle name="Besuchter Hyperlink" xfId="380" builtinId="9" hidden="1"/>
    <cellStyle name="Besuchter Hyperlink" xfId="382" builtinId="9" hidden="1"/>
    <cellStyle name="Besuchter Hyperlink" xfId="384" builtinId="9" hidden="1"/>
    <cellStyle name="Besuchter Hyperlink" xfId="386" builtinId="9" hidden="1"/>
    <cellStyle name="Besuchter Hyperlink" xfId="388" builtinId="9" hidden="1"/>
    <cellStyle name="Besuchter Hyperlink" xfId="390" builtinId="9" hidden="1"/>
    <cellStyle name="Besuchter Hyperlink" xfId="392" builtinId="9" hidden="1"/>
    <cellStyle name="Besuchter Hyperlink" xfId="394" builtinId="9" hidden="1"/>
    <cellStyle name="Besuchter Hyperlink" xfId="396" builtinId="9" hidden="1"/>
    <cellStyle name="Besuchter Hyperlink" xfId="398" builtinId="9" hidden="1"/>
    <cellStyle name="Besuchter Hyperlink" xfId="400" builtinId="9" hidden="1"/>
    <cellStyle name="Besuchter Hyperlink" xfId="402" builtinId="9" hidden="1"/>
    <cellStyle name="Besuchter Hyperlink" xfId="405" builtinId="9" hidden="1"/>
    <cellStyle name="Besuchter Hyperlink" xfId="406" builtinId="9" hidden="1"/>
    <cellStyle name="Besuchter Hyperlink" xfId="407" builtinId="9" hidden="1"/>
    <cellStyle name="Besuchter Hyperlink" xfId="408" builtinId="9" hidden="1"/>
    <cellStyle name="Besuchter Hyperlink" xfId="409" builtinId="9" hidden="1"/>
    <cellStyle name="Besuchter Hyperlink" xfId="410" builtinId="9" hidden="1"/>
    <cellStyle name="Besuchter Hyperlink" xfId="411" builtinId="9" hidden="1"/>
    <cellStyle name="Besuchter Hyperlink" xfId="412" builtinId="9" hidden="1"/>
    <cellStyle name="Besuchter Hyperlink" xfId="413" builtinId="9" hidden="1"/>
    <cellStyle name="Besuchter Hyperlink" xfId="414" builtinId="9" hidden="1"/>
    <cellStyle name="Besuchter Hyperlink" xfId="415" builtinId="9" hidden="1"/>
    <cellStyle name="Besuchter Hyperlink" xfId="416" builtinId="9" hidden="1"/>
    <cellStyle name="Besuchter Hyperlink" xfId="417" builtinId="9" hidden="1"/>
    <cellStyle name="Besuchter Hyperlink" xfId="418" builtinId="9" hidden="1"/>
    <cellStyle name="Besuchter Hyperlink" xfId="419" builtinId="9" hidden="1"/>
    <cellStyle name="Besuchter Hyperlink" xfId="420" builtinId="9" hidden="1"/>
    <cellStyle name="Besuchter Hyperlink" xfId="421" builtinId="9" hidden="1"/>
    <cellStyle name="Besuchter Hyperlink" xfId="422" builtinId="9" hidden="1"/>
    <cellStyle name="Besuchter Hyperlink" xfId="423" builtinId="9" hidden="1"/>
    <cellStyle name="Bold GHG Numbers (0.00)" xfId="30" xr:uid="{00000000-0005-0000-0000-0000D3000000}"/>
    <cellStyle name="Comma [0]" xfId="31" xr:uid="{00000000-0005-0000-0000-0000D4000000}"/>
    <cellStyle name="Comma [0] 2" xfId="32" xr:uid="{00000000-0005-0000-0000-0000D5000000}"/>
    <cellStyle name="Comma [0] 2 2" xfId="33" xr:uid="{00000000-0005-0000-0000-0000D6000000}"/>
    <cellStyle name="Comma [0] 2 2 2" xfId="432" xr:uid="{00000000-0005-0000-0000-0000D7000000}"/>
    <cellStyle name="Comma [0] 2 3" xfId="431" xr:uid="{00000000-0005-0000-0000-0000D8000000}"/>
    <cellStyle name="Comma [0] 3" xfId="34" xr:uid="{00000000-0005-0000-0000-0000D9000000}"/>
    <cellStyle name="Comma [0] 3 2" xfId="433" xr:uid="{00000000-0005-0000-0000-0000DA000000}"/>
    <cellStyle name="Comma [0] 4" xfId="430" xr:uid="{00000000-0005-0000-0000-0000DB000000}"/>
    <cellStyle name="Currency [0]" xfId="35" xr:uid="{00000000-0005-0000-0000-0000DC000000}"/>
    <cellStyle name="Currency [0] 2" xfId="36" xr:uid="{00000000-0005-0000-0000-0000DD000000}"/>
    <cellStyle name="Currency [0] 2 2" xfId="37" xr:uid="{00000000-0005-0000-0000-0000DE000000}"/>
    <cellStyle name="Currency [0] 3" xfId="38" xr:uid="{00000000-0005-0000-0000-0000DF000000}"/>
    <cellStyle name="Dezimal 2" xfId="39" xr:uid="{00000000-0005-0000-0000-0000E1000000}"/>
    <cellStyle name="Eingabe 2" xfId="40" xr:uid="{00000000-0005-0000-0000-0000E2000000}"/>
    <cellStyle name="Eingabe 2 2" xfId="434" xr:uid="{00000000-0005-0000-0000-0000E3000000}"/>
    <cellStyle name="Ergebnis 2" xfId="41" xr:uid="{00000000-0005-0000-0000-0000E4000000}"/>
    <cellStyle name="Ergebnis 2 2" xfId="435" xr:uid="{00000000-0005-0000-0000-0000E5000000}"/>
    <cellStyle name="Erklärender Text 2" xfId="42" xr:uid="{00000000-0005-0000-0000-0000E6000000}"/>
    <cellStyle name="Gut 2" xfId="43" xr:uid="{00000000-0005-0000-0000-0000E7000000}"/>
    <cellStyle name="Hyperlink 2" xfId="44" xr:uid="{00000000-0005-0000-0000-0000E8000000}"/>
    <cellStyle name="Hyperlink 2 2" xfId="45" xr:uid="{00000000-0005-0000-0000-0000E9000000}"/>
    <cellStyle name="Hyperlink 3" xfId="425" xr:uid="{00000000-0005-0000-0000-0000EA000000}"/>
    <cellStyle name="Komma" xfId="338" builtinId="3"/>
    <cellStyle name="Komma 2" xfId="46" xr:uid="{00000000-0005-0000-0000-0000EB000000}"/>
    <cellStyle name="Komma 3" xfId="438" xr:uid="{00000000-0005-0000-0000-0000EC000000}"/>
    <cellStyle name="Link" xfId="78" builtinId="8" hidden="1"/>
    <cellStyle name="Link" xfId="80" builtinId="8" hidden="1"/>
    <cellStyle name="Link" xfId="82" builtinId="8" hidden="1"/>
    <cellStyle name="Link" xfId="84" builtinId="8" hidden="1"/>
    <cellStyle name="Link" xfId="86" builtinId="8" hidden="1"/>
    <cellStyle name="Link" xfId="88" builtinId="8" hidden="1"/>
    <cellStyle name="Link" xfId="90" builtinId="8" hidden="1"/>
    <cellStyle name="Link" xfId="92" builtinId="8" hidden="1"/>
    <cellStyle name="Link" xfId="94" builtinId="8" hidden="1"/>
    <cellStyle name="Link" xfId="96" builtinId="8" hidden="1"/>
    <cellStyle name="Link" xfId="98" builtinId="8" hidden="1"/>
    <cellStyle name="Link" xfId="100" builtinId="8" hidden="1"/>
    <cellStyle name="Link" xfId="102" builtinId="8" hidden="1"/>
    <cellStyle name="Link" xfId="104" builtinId="8" hidden="1"/>
    <cellStyle name="Link" xfId="106" builtinId="8" hidden="1"/>
    <cellStyle name="Link" xfId="108" builtinId="8" hidden="1"/>
    <cellStyle name="Link" xfId="110" builtinId="8" hidden="1"/>
    <cellStyle name="Link" xfId="112" builtinId="8" hidden="1"/>
    <cellStyle name="Link" xfId="114" builtinId="8" hidden="1"/>
    <cellStyle name="Link" xfId="116" builtinId="8" hidden="1"/>
    <cellStyle name="Link" xfId="118" builtinId="8" hidden="1"/>
    <cellStyle name="Link" xfId="120" builtinId="8" hidden="1"/>
    <cellStyle name="Link" xfId="122" builtinId="8" hidden="1"/>
    <cellStyle name="Link" xfId="124" builtinId="8" hidden="1"/>
    <cellStyle name="Link" xfId="126" builtinId="8" hidden="1"/>
    <cellStyle name="Link" xfId="128" builtinId="8" hidden="1"/>
    <cellStyle name="Link" xfId="130" builtinId="8" hidden="1"/>
    <cellStyle name="Link" xfId="132" builtinId="8" hidden="1"/>
    <cellStyle name="Link" xfId="134" builtinId="8" hidden="1"/>
    <cellStyle name="Link" xfId="136" builtinId="8" hidden="1"/>
    <cellStyle name="Link" xfId="138" builtinId="8" hidden="1"/>
    <cellStyle name="Link" xfId="140" builtinId="8" hidden="1"/>
    <cellStyle name="Link" xfId="142" builtinId="8" hidden="1"/>
    <cellStyle name="Link" xfId="144" builtinId="8" hidden="1"/>
    <cellStyle name="Link" xfId="146" builtinId="8" hidden="1"/>
    <cellStyle name="Link" xfId="148" builtinId="8" hidden="1"/>
    <cellStyle name="Link" xfId="150" builtinId="8" hidden="1"/>
    <cellStyle name="Link" xfId="152" builtinId="8" hidden="1"/>
    <cellStyle name="Link" xfId="154" builtinId="8" hidden="1"/>
    <cellStyle name="Link" xfId="156" builtinId="8" hidden="1"/>
    <cellStyle name="Link" xfId="158" builtinId="8" hidden="1"/>
    <cellStyle name="Link" xfId="160" builtinId="8" hidden="1"/>
    <cellStyle name="Link" xfId="162" builtinId="8" hidden="1"/>
    <cellStyle name="Link" xfId="164" builtinId="8" hidden="1"/>
    <cellStyle name="Link" xfId="166" builtinId="8" hidden="1"/>
    <cellStyle name="Link" xfId="168" builtinId="8" hidden="1"/>
    <cellStyle name="Link" xfId="170" builtinId="8" hidden="1"/>
    <cellStyle name="Link" xfId="172" builtinId="8" hidden="1"/>
    <cellStyle name="Link" xfId="174" builtinId="8" hidden="1"/>
    <cellStyle name="Link" xfId="176" builtinId="8" hidden="1"/>
    <cellStyle name="Link" xfId="178" builtinId="8" hidden="1"/>
    <cellStyle name="Link" xfId="180" builtinId="8" hidden="1"/>
    <cellStyle name="Link" xfId="182" builtinId="8" hidden="1"/>
    <cellStyle name="Link" xfId="184" builtinId="8" hidden="1"/>
    <cellStyle name="Link" xfId="186" builtinId="8" hidden="1"/>
    <cellStyle name="Link" xfId="188" builtinId="8" hidden="1"/>
    <cellStyle name="Link" xfId="190" builtinId="8" hidden="1"/>
    <cellStyle name="Link" xfId="192" builtinId="8" hidden="1"/>
    <cellStyle name="Link" xfId="194" builtinId="8" hidden="1"/>
    <cellStyle name="Link" xfId="196" builtinId="8" hidden="1"/>
    <cellStyle name="Link" xfId="198" builtinId="8" hidden="1"/>
    <cellStyle name="Link" xfId="200" builtinId="8" hidden="1"/>
    <cellStyle name="Link" xfId="202" builtinId="8" hidden="1"/>
    <cellStyle name="Link" xfId="204" builtinId="8" hidden="1"/>
    <cellStyle name="Link" xfId="206" builtinId="8" hidden="1"/>
    <cellStyle name="Link" xfId="208" builtinId="8" hidden="1"/>
    <cellStyle name="Link" xfId="210" builtinId="8" hidden="1"/>
    <cellStyle name="Link" xfId="212" builtinId="8" hidden="1"/>
    <cellStyle name="Link" xfId="214" builtinId="8" hidden="1"/>
    <cellStyle name="Link" xfId="216" builtinId="8" hidden="1"/>
    <cellStyle name="Link" xfId="218" builtinId="8" hidden="1"/>
    <cellStyle name="Link" xfId="220" builtinId="8" hidden="1"/>
    <cellStyle name="Link" xfId="222" builtinId="8" hidden="1"/>
    <cellStyle name="Link" xfId="224" builtinId="8" hidden="1"/>
    <cellStyle name="Link" xfId="226" builtinId="8" hidden="1"/>
    <cellStyle name="Link" xfId="228" builtinId="8" hidden="1"/>
    <cellStyle name="Link" xfId="230" builtinId="8" hidden="1"/>
    <cellStyle name="Link" xfId="232" builtinId="8" hidden="1"/>
    <cellStyle name="Link" xfId="234" builtinId="8" hidden="1"/>
    <cellStyle name="Link" xfId="236" builtinId="8" hidden="1"/>
    <cellStyle name="Link" xfId="238" builtinId="8" hidden="1"/>
    <cellStyle name="Link" xfId="240" builtinId="8" hidden="1"/>
    <cellStyle name="Link" xfId="242" builtinId="8" hidden="1"/>
    <cellStyle name="Link" xfId="244" builtinId="8" hidden="1"/>
    <cellStyle name="Link" xfId="246" builtinId="8" hidden="1"/>
    <cellStyle name="Link" xfId="248" builtinId="8" hidden="1"/>
    <cellStyle name="Link" xfId="250" builtinId="8" hidden="1"/>
    <cellStyle name="Link" xfId="252" builtinId="8" hidden="1"/>
    <cellStyle name="Link" xfId="254" builtinId="8" hidden="1"/>
    <cellStyle name="Link" xfId="256" builtinId="8" hidden="1"/>
    <cellStyle name="Link" xfId="258" builtinId="8" hidden="1"/>
    <cellStyle name="Link" xfId="260" builtinId="8" hidden="1"/>
    <cellStyle name="Link" xfId="262" builtinId="8" hidden="1"/>
    <cellStyle name="Link" xfId="264" builtinId="8" hidden="1"/>
    <cellStyle name="Link" xfId="266" builtinId="8" hidden="1"/>
    <cellStyle name="Link" xfId="268" builtinId="8" hidden="1"/>
    <cellStyle name="Link" xfId="270" builtinId="8" hidden="1"/>
    <cellStyle name="Link" xfId="272" builtinId="8" hidden="1"/>
    <cellStyle name="Link" xfId="274" builtinId="8" hidden="1"/>
    <cellStyle name="Link" xfId="276" builtinId="8" hidden="1"/>
    <cellStyle name="Link" xfId="278" builtinId="8" hidden="1"/>
    <cellStyle name="Link" xfId="280" builtinId="8" hidden="1"/>
    <cellStyle name="Link" xfId="282" builtinId="8" hidden="1"/>
    <cellStyle name="Link" xfId="284" builtinId="8" hidden="1"/>
    <cellStyle name="Link" xfId="286" builtinId="8" hidden="1"/>
    <cellStyle name="Link" xfId="288" builtinId="8" hidden="1"/>
    <cellStyle name="Link" xfId="290" builtinId="8" hidden="1"/>
    <cellStyle name="Link" xfId="292" builtinId="8" hidden="1"/>
    <cellStyle name="Link" xfId="294" builtinId="8" hidden="1"/>
    <cellStyle name="Link" xfId="296" builtinId="8" hidden="1"/>
    <cellStyle name="Link" xfId="298" builtinId="8" hidden="1"/>
    <cellStyle name="Link" xfId="300" builtinId="8" hidden="1"/>
    <cellStyle name="Link" xfId="302" builtinId="8" hidden="1"/>
    <cellStyle name="Link" xfId="304" builtinId="8" hidden="1"/>
    <cellStyle name="Link" xfId="306" builtinId="8" hidden="1"/>
    <cellStyle name="Link" xfId="308" builtinId="8" hidden="1"/>
    <cellStyle name="Link" xfId="310" builtinId="8" hidden="1"/>
    <cellStyle name="Link" xfId="312" builtinId="8" hidden="1"/>
    <cellStyle name="Link" xfId="314" builtinId="8" hidden="1"/>
    <cellStyle name="Link" xfId="316" builtinId="8" hidden="1"/>
    <cellStyle name="Link" xfId="318" builtinId="8" hidden="1"/>
    <cellStyle name="Link" xfId="320" builtinId="8" hidden="1"/>
    <cellStyle name="Link" xfId="322" builtinId="8" hidden="1"/>
    <cellStyle name="Link" xfId="324" builtinId="8" hidden="1"/>
    <cellStyle name="Link" xfId="326" builtinId="8" hidden="1"/>
    <cellStyle name="Link" xfId="328" builtinId="8" hidden="1"/>
    <cellStyle name="Link" xfId="330" builtinId="8" hidden="1"/>
    <cellStyle name="Link" xfId="332" builtinId="8" hidden="1"/>
    <cellStyle name="Link" xfId="334" builtinId="8" hidden="1"/>
    <cellStyle name="Link" xfId="336" builtinId="8" hidden="1"/>
    <cellStyle name="Link" xfId="339" builtinId="8" hidden="1"/>
    <cellStyle name="Link" xfId="341" builtinId="8" hidden="1"/>
    <cellStyle name="Link" xfId="343" builtinId="8" hidden="1"/>
    <cellStyle name="Link" xfId="345" builtinId="8" hidden="1"/>
    <cellStyle name="Link" xfId="347" builtinId="8" hidden="1"/>
    <cellStyle name="Link" xfId="349" builtinId="8" hidden="1"/>
    <cellStyle name="Link" xfId="351" builtinId="8" hidden="1"/>
    <cellStyle name="Link" xfId="353" builtinId="8" hidden="1"/>
    <cellStyle name="Link" xfId="355" builtinId="8" hidden="1"/>
    <cellStyle name="Link" xfId="357" builtinId="8" hidden="1"/>
    <cellStyle name="Link" xfId="359" builtinId="8" hidden="1"/>
    <cellStyle name="Link" xfId="361" builtinId="8" hidden="1"/>
    <cellStyle name="Link" xfId="363" builtinId="8" hidden="1"/>
    <cellStyle name="Link" xfId="365" builtinId="8" hidden="1"/>
    <cellStyle name="Link" xfId="367" builtinId="8" hidden="1"/>
    <cellStyle name="Link" xfId="369" builtinId="8" hidden="1"/>
    <cellStyle name="Link" xfId="371" builtinId="8" hidden="1"/>
    <cellStyle name="Link" xfId="373" builtinId="8" hidden="1"/>
    <cellStyle name="Link" xfId="375" builtinId="8" hidden="1"/>
    <cellStyle name="Link" xfId="377" builtinId="8" hidden="1"/>
    <cellStyle name="Link" xfId="379" builtinId="8" hidden="1"/>
    <cellStyle name="Link" xfId="381" builtinId="8" hidden="1"/>
    <cellStyle name="Link" xfId="383" builtinId="8" hidden="1"/>
    <cellStyle name="Link" xfId="385" builtinId="8" hidden="1"/>
    <cellStyle name="Link" xfId="387" builtinId="8" hidden="1"/>
    <cellStyle name="Link" xfId="389" builtinId="8" hidden="1"/>
    <cellStyle name="Link" xfId="391" builtinId="8" hidden="1"/>
    <cellStyle name="Link" xfId="393" builtinId="8" hidden="1"/>
    <cellStyle name="Link" xfId="395" builtinId="8" hidden="1"/>
    <cellStyle name="Link" xfId="397" builtinId="8" hidden="1"/>
    <cellStyle name="Link" xfId="399" builtinId="8" hidden="1"/>
    <cellStyle name="Link" xfId="401" builtinId="8" hidden="1"/>
    <cellStyle name="Link" xfId="404" builtinId="8"/>
    <cellStyle name="Link 2" xfId="426" xr:uid="{00000000-0005-0000-0000-000090010000}"/>
    <cellStyle name="Neutral 2" xfId="47" xr:uid="{00000000-0005-0000-0000-000091010000}"/>
    <cellStyle name="Normal GHG Numbers (0.00)" xfId="48" xr:uid="{00000000-0005-0000-0000-000092010000}"/>
    <cellStyle name="Normal GHG Numbers (0.00) 2" xfId="436" xr:uid="{00000000-0005-0000-0000-000093010000}"/>
    <cellStyle name="Normal GHG-Shade" xfId="49" xr:uid="{00000000-0005-0000-0000-000094010000}"/>
    <cellStyle name="Notiz 2" xfId="50" xr:uid="{00000000-0005-0000-0000-000095010000}"/>
    <cellStyle name="Notiz 2 2" xfId="437" xr:uid="{00000000-0005-0000-0000-000096010000}"/>
    <cellStyle name="Prozent" xfId="403" builtinId="5"/>
    <cellStyle name="Prozent 2" xfId="2" xr:uid="{00000000-0005-0000-0000-000098010000}"/>
    <cellStyle name="Prozent 2 2" xfId="51" xr:uid="{00000000-0005-0000-0000-000099010000}"/>
    <cellStyle name="Schlecht 2" xfId="52" xr:uid="{00000000-0005-0000-0000-00009A010000}"/>
    <cellStyle name="Standard" xfId="0" builtinId="0"/>
    <cellStyle name="Standard 10" xfId="424" xr:uid="{00000000-0005-0000-0000-00009C010000}"/>
    <cellStyle name="Standard 2" xfId="53" xr:uid="{00000000-0005-0000-0000-00009D010000}"/>
    <cellStyle name="Standard 2 2" xfId="54" xr:uid="{00000000-0005-0000-0000-00009E010000}"/>
    <cellStyle name="Standard 2 2 2" xfId="55" xr:uid="{00000000-0005-0000-0000-00009F010000}"/>
    <cellStyle name="Standard 2 3" xfId="56" xr:uid="{00000000-0005-0000-0000-0000A0010000}"/>
    <cellStyle name="Standard 3" xfId="57" xr:uid="{00000000-0005-0000-0000-0000A1010000}"/>
    <cellStyle name="Standard 3 2" xfId="58" xr:uid="{00000000-0005-0000-0000-0000A2010000}"/>
    <cellStyle name="Standard 4" xfId="59" xr:uid="{00000000-0005-0000-0000-0000A3010000}"/>
    <cellStyle name="Standard 4 2" xfId="60" xr:uid="{00000000-0005-0000-0000-0000A4010000}"/>
    <cellStyle name="Standard 4 2 2" xfId="61" xr:uid="{00000000-0005-0000-0000-0000A5010000}"/>
    <cellStyle name="Standard 4 3" xfId="62" xr:uid="{00000000-0005-0000-0000-0000A6010000}"/>
    <cellStyle name="Standard 5" xfId="63" xr:uid="{00000000-0005-0000-0000-0000A7010000}"/>
    <cellStyle name="Standard 6" xfId="64" xr:uid="{00000000-0005-0000-0000-0000A8010000}"/>
    <cellStyle name="Standard 6 2" xfId="65" xr:uid="{00000000-0005-0000-0000-0000A9010000}"/>
    <cellStyle name="Standard 7" xfId="1" xr:uid="{00000000-0005-0000-0000-0000AA010000}"/>
    <cellStyle name="Standard 7 2" xfId="66" xr:uid="{00000000-0005-0000-0000-0000AB010000}"/>
    <cellStyle name="Standard 8" xfId="67" xr:uid="{00000000-0005-0000-0000-0000AC010000}"/>
    <cellStyle name="Standard 8 2" xfId="68" xr:uid="{00000000-0005-0000-0000-0000AD010000}"/>
    <cellStyle name="Standard 9" xfId="69" xr:uid="{00000000-0005-0000-0000-0000AE010000}"/>
    <cellStyle name="Überschrift 1 2" xfId="70" xr:uid="{00000000-0005-0000-0000-0000AF010000}"/>
    <cellStyle name="Überschrift 2 2" xfId="71" xr:uid="{00000000-0005-0000-0000-0000B0010000}"/>
    <cellStyle name="Überschrift 3 2" xfId="72" xr:uid="{00000000-0005-0000-0000-0000B1010000}"/>
    <cellStyle name="Überschrift 4 2" xfId="73" xr:uid="{00000000-0005-0000-0000-0000B2010000}"/>
    <cellStyle name="Überschrift 5" xfId="74" xr:uid="{00000000-0005-0000-0000-0000B3010000}"/>
    <cellStyle name="Verknüpfte Zelle 2" xfId="75" xr:uid="{00000000-0005-0000-0000-0000B4010000}"/>
    <cellStyle name="Warnender Text 2" xfId="76" xr:uid="{00000000-0005-0000-0000-0000B5010000}"/>
    <cellStyle name="Zelle überprüfen 2" xfId="77" xr:uid="{00000000-0005-0000-0000-0000B6010000}"/>
  </cellStyles>
  <dxfs count="19">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patternType="none">
          <fgColor indexed="64"/>
          <bgColor indexed="65"/>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s>
  <tableStyles count="0" defaultTableStyle="TableStyleMedium2" defaultPivotStyle="PivotStyleMedium9"/>
  <colors>
    <mruColors>
      <color rgb="FF72AFC8"/>
      <color rgb="FF2FAC66"/>
      <color rgb="FF527489"/>
      <color rgb="FF8393BE"/>
      <color rgb="FF374569"/>
      <color rgb="FF617494"/>
      <color rgb="FFB6C0C6"/>
      <color rgb="FF4678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4.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10.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7.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8.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9.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418929048460899"/>
          <c:y val="6.9500524511223405E-2"/>
          <c:w val="0.82810906040268495"/>
          <c:h val="0.718434240072093"/>
        </c:manualLayout>
      </c:layout>
      <c:barChart>
        <c:barDir val="col"/>
        <c:grouping val="stacked"/>
        <c:varyColors val="0"/>
        <c:ser>
          <c:idx val="0"/>
          <c:order val="0"/>
          <c:tx>
            <c:strRef>
              <c:f>Diagrammtabelle!$C$9</c:f>
              <c:strCache>
                <c:ptCount val="1"/>
                <c:pt idx="0">
                  <c:v>CAPEX</c:v>
                </c:pt>
              </c:strCache>
            </c:strRef>
          </c:tx>
          <c:spPr>
            <a:solidFill>
              <a:srgbClr val="72AFC8"/>
            </a:solidFill>
            <a:ln>
              <a:noFill/>
            </a:ln>
            <a:effectLst/>
          </c:spPr>
          <c:invertIfNegative val="0"/>
          <c:dLbls>
            <c:spPr>
              <a:noFill/>
              <a:ln>
                <a:noFill/>
              </a:ln>
              <a:effectLst/>
            </c:spPr>
            <c:txPr>
              <a:bodyPr/>
              <a:lstStyle/>
              <a:p>
                <a:pPr>
                  <a:defRPr sz="1000">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Diagrammtabelle!$D$8:$F$8</c:f>
              <c:strCache>
                <c:ptCount val="3"/>
                <c:pt idx="0">
                  <c:v>Referenz</c:v>
                </c:pt>
                <c:pt idx="1">
                  <c:v>Oxyfuel</c:v>
                </c:pt>
                <c:pt idx="2">
                  <c:v>E-LEILAC</c:v>
                </c:pt>
              </c:strCache>
            </c:strRef>
          </c:cat>
          <c:val>
            <c:numRef>
              <c:f>Diagrammtabelle!$D$9:$F$9</c:f>
              <c:numCache>
                <c:formatCode>#,##0</c:formatCode>
                <c:ptCount val="3"/>
                <c:pt idx="0">
                  <c:v>32.340000000000003</c:v>
                </c:pt>
                <c:pt idx="1">
                  <c:v>40.599999999999994</c:v>
                </c:pt>
                <c:pt idx="2">
                  <c:v>35.07</c:v>
                </c:pt>
              </c:numCache>
            </c:numRef>
          </c:val>
          <c:extLst>
            <c:ext xmlns:c16="http://schemas.microsoft.com/office/drawing/2014/chart" uri="{C3380CC4-5D6E-409C-BE32-E72D297353CC}">
              <c16:uniqueId val="{00000000-03E3-435C-9CF3-5825191EEB92}"/>
            </c:ext>
          </c:extLst>
        </c:ser>
        <c:ser>
          <c:idx val="1"/>
          <c:order val="1"/>
          <c:tx>
            <c:strRef>
              <c:f>Diagrammtabelle!$C$10</c:f>
              <c:strCache>
                <c:ptCount val="1"/>
                <c:pt idx="0">
                  <c:v>OPEX</c:v>
                </c:pt>
              </c:strCache>
            </c:strRef>
          </c:tx>
          <c:spPr>
            <a:solidFill>
              <a:srgbClr val="2FAC66"/>
            </a:solidFill>
          </c:spPr>
          <c:invertIfNegative val="0"/>
          <c:dLbls>
            <c:spPr>
              <a:noFill/>
              <a:ln>
                <a:noFill/>
              </a:ln>
              <a:effectLst/>
            </c:spPr>
            <c:txPr>
              <a:bodyPr/>
              <a:lstStyle/>
              <a:p>
                <a:pPr>
                  <a:defRPr sz="1000">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Diagrammtabelle!$D$8:$F$8</c:f>
              <c:strCache>
                <c:ptCount val="3"/>
                <c:pt idx="0">
                  <c:v>Referenz</c:v>
                </c:pt>
                <c:pt idx="1">
                  <c:v>Oxyfuel</c:v>
                </c:pt>
                <c:pt idx="2">
                  <c:v>E-LEILAC</c:v>
                </c:pt>
              </c:strCache>
            </c:strRef>
          </c:cat>
          <c:val>
            <c:numRef>
              <c:f>Diagrammtabelle!$D$10:$F$10</c:f>
              <c:numCache>
                <c:formatCode>#,##0</c:formatCode>
                <c:ptCount val="3"/>
                <c:pt idx="0">
                  <c:v>36.247634898775516</c:v>
                </c:pt>
                <c:pt idx="1">
                  <c:v>76.74815650444836</c:v>
                </c:pt>
                <c:pt idx="2">
                  <c:v>95.811741574225536</c:v>
                </c:pt>
              </c:numCache>
            </c:numRef>
          </c:val>
          <c:extLst>
            <c:ext xmlns:c16="http://schemas.microsoft.com/office/drawing/2014/chart" uri="{C3380CC4-5D6E-409C-BE32-E72D297353CC}">
              <c16:uniqueId val="{00000000-16A4-4108-8E27-4C980B633AD4}"/>
            </c:ext>
          </c:extLst>
        </c:ser>
        <c:ser>
          <c:idx val="2"/>
          <c:order val="2"/>
          <c:tx>
            <c:strRef>
              <c:f>Diagrammtabelle!$C$11</c:f>
              <c:strCache>
                <c:ptCount val="1"/>
                <c:pt idx="0">
                  <c:v>Wert CO2-Zertifikate (bei 50€/EUA)</c:v>
                </c:pt>
              </c:strCache>
            </c:strRef>
          </c:tx>
          <c:spPr>
            <a:solidFill>
              <a:srgbClr val="527489"/>
            </a:solidFill>
          </c:spPr>
          <c:invertIfNegative val="0"/>
          <c:dLbls>
            <c:spPr>
              <a:noFill/>
              <a:ln>
                <a:noFill/>
              </a:ln>
              <a:effectLst/>
            </c:spPr>
            <c:txPr>
              <a:bodyPr/>
              <a:lstStyle/>
              <a:p>
                <a:pPr>
                  <a:defRPr sz="1000">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Diagrammtabelle!$D$8:$F$8</c:f>
              <c:strCache>
                <c:ptCount val="3"/>
                <c:pt idx="0">
                  <c:v>Referenz</c:v>
                </c:pt>
                <c:pt idx="1">
                  <c:v>Oxyfuel</c:v>
                </c:pt>
                <c:pt idx="2">
                  <c:v>E-LEILAC</c:v>
                </c:pt>
              </c:strCache>
            </c:strRef>
          </c:cat>
          <c:val>
            <c:numRef>
              <c:f>Diagrammtabelle!$D$11:$F$11</c:f>
              <c:numCache>
                <c:formatCode>#,##0</c:formatCode>
                <c:ptCount val="3"/>
                <c:pt idx="0">
                  <c:v>38.259980000000006</c:v>
                </c:pt>
                <c:pt idx="1">
                  <c:v>3.8259979999999971</c:v>
                </c:pt>
                <c:pt idx="2">
                  <c:v>7.7355666666666654</c:v>
                </c:pt>
              </c:numCache>
            </c:numRef>
          </c:val>
          <c:extLst>
            <c:ext xmlns:c16="http://schemas.microsoft.com/office/drawing/2014/chart" uri="{C3380CC4-5D6E-409C-BE32-E72D297353CC}">
              <c16:uniqueId val="{00000001-16A4-4108-8E27-4C980B633AD4}"/>
            </c:ext>
          </c:extLst>
        </c:ser>
        <c:ser>
          <c:idx val="3"/>
          <c:order val="3"/>
          <c:tx>
            <c:strRef>
              <c:f>Diagrammtabelle!$C$12</c:f>
              <c:strCache>
                <c:ptCount val="1"/>
                <c:pt idx="0">
                  <c:v>Gutschrift CO2-Senkenzertifikate (bei 0€/EUA)</c:v>
                </c:pt>
              </c:strCache>
            </c:strRef>
          </c:tx>
          <c:spPr>
            <a:solidFill>
              <a:schemeClr val="accent5"/>
            </a:solidFill>
          </c:spPr>
          <c:invertIfNegative val="0"/>
          <c:val>
            <c:numRef>
              <c:f>Diagrammtabelle!$D$12:$F$12</c:f>
              <c:numCache>
                <c:formatCode>#,##0</c:formatCode>
                <c:ptCount val="3"/>
                <c:pt idx="0">
                  <c:v>0</c:v>
                </c:pt>
                <c:pt idx="1">
                  <c:v>0</c:v>
                </c:pt>
                <c:pt idx="2">
                  <c:v>0</c:v>
                </c:pt>
              </c:numCache>
            </c:numRef>
          </c:val>
          <c:extLst>
            <c:ext xmlns:c16="http://schemas.microsoft.com/office/drawing/2014/chart" uri="{C3380CC4-5D6E-409C-BE32-E72D297353CC}">
              <c16:uniqueId val="{00000001-D8A2-421A-93DF-A4027B6DB707}"/>
            </c:ext>
          </c:extLst>
        </c:ser>
        <c:dLbls>
          <c:showLegendKey val="0"/>
          <c:showVal val="0"/>
          <c:showCatName val="0"/>
          <c:showSerName val="0"/>
          <c:showPercent val="0"/>
          <c:showBubbleSize val="0"/>
        </c:dLbls>
        <c:gapWidth val="100"/>
        <c:overlap val="100"/>
        <c:axId val="-2057542408"/>
        <c:axId val="-2057538584"/>
      </c:barChart>
      <c:catAx>
        <c:axId val="-2057542408"/>
        <c:scaling>
          <c:orientation val="minMax"/>
        </c:scaling>
        <c:delete val="0"/>
        <c:axPos val="b"/>
        <c:majorGridlines>
          <c:spPr>
            <a:ln w="9525" cap="flat" cmpd="sng" algn="ctr">
              <a:solidFill>
                <a:schemeClr val="bg1"/>
              </a:solidFill>
              <a:round/>
            </a:ln>
            <a:effectLst/>
          </c:spPr>
        </c:majorGridlines>
        <c:numFmt formatCode="General" sourceLinked="1"/>
        <c:majorTickMark val="none"/>
        <c:minorTickMark val="none"/>
        <c:tickLblPos val="low"/>
        <c:spPr>
          <a:noFill/>
          <a:ln w="19050" cap="flat" cmpd="sng" algn="ctr">
            <a:solidFill>
              <a:schemeClr val="bg2"/>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2057538584"/>
        <c:crosses val="autoZero"/>
        <c:auto val="1"/>
        <c:lblAlgn val="ctr"/>
        <c:lblOffset val="100"/>
        <c:noMultiLvlLbl val="0"/>
      </c:catAx>
      <c:valAx>
        <c:axId val="-2057538584"/>
        <c:scaling>
          <c:orientation val="minMax"/>
        </c:scaling>
        <c:delete val="0"/>
        <c:axPos val="l"/>
        <c:majorGridlines>
          <c:spPr>
            <a:ln w="6350" cap="flat" cmpd="sng" algn="ctr">
              <a:solidFill>
                <a:schemeClr val="bg1"/>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de-DE" sz="1000" b="1">
                    <a:solidFill>
                      <a:schemeClr val="tx1"/>
                    </a:solidFill>
                    <a:latin typeface="Arial" panose="020B0604020202020204" pitchFamily="34" charset="0"/>
                    <a:cs typeface="Arial" panose="020B0604020202020204" pitchFamily="34" charset="0"/>
                  </a:rPr>
                  <a:t>€/t Klinker</a:t>
                </a:r>
              </a:p>
            </c:rich>
          </c:tx>
          <c:layout>
            <c:manualLayout>
              <c:xMode val="edge"/>
              <c:yMode val="edge"/>
              <c:x val="2.0934292325841201E-2"/>
              <c:y val="0.33551957122918102"/>
            </c:manualLayout>
          </c:layout>
          <c:overlay val="0"/>
          <c:spPr>
            <a:noFill/>
            <a:ln>
              <a:noFill/>
            </a:ln>
            <a:effectLst/>
          </c:spPr>
        </c:title>
        <c:numFmt formatCode="#,##0" sourceLinked="1"/>
        <c:majorTickMark val="none"/>
        <c:minorTickMark val="none"/>
        <c:tickLblPos val="nextTo"/>
        <c:spPr>
          <a:noFill/>
          <a:ln w="19050">
            <a:solidFill>
              <a:schemeClr val="bg2"/>
            </a:solidFill>
          </a:ln>
          <a:effectLst/>
        </c:spPr>
        <c:txPr>
          <a:bodyPr rot="-60000000" spcFirstLastPara="1" vertOverflow="ellipsis" vert="horz" wrap="square" anchor="ctr" anchorCtr="1"/>
          <a:lstStyle/>
          <a:p>
            <a:pPr>
              <a:defRPr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2057542408"/>
        <c:crosses val="autoZero"/>
        <c:crossBetween val="between"/>
      </c:valAx>
      <c:spPr>
        <a:noFill/>
        <a:ln>
          <a:noFill/>
        </a:ln>
        <a:effectLst/>
      </c:spPr>
    </c:plotArea>
    <c:legend>
      <c:legendPos val="b"/>
      <c:layout>
        <c:manualLayout>
          <c:xMode val="edge"/>
          <c:yMode val="edge"/>
          <c:x val="1.4795356421634039E-2"/>
          <c:y val="0.88845068641254588"/>
          <c:w val="0.96972460665820992"/>
          <c:h val="9.7335324784048119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rgbClr val="E3E4EA"/>
    </a:solidFill>
    <a:ln w="9525" cap="flat" cmpd="sng" algn="ctr">
      <a:noFill/>
      <a:round/>
    </a:ln>
    <a:effectLst/>
  </c:spPr>
  <c:txPr>
    <a:bodyPr/>
    <a:lstStyle/>
    <a:p>
      <a:pPr>
        <a:defRPr/>
      </a:pPr>
      <a:endParaRPr lang="en-US"/>
    </a:p>
  </c:txPr>
  <c:printSettings>
    <c:headerFooter/>
    <c:pageMargins b="0.78740157499999996" l="0.7" r="0.7" t="0.78740157499999996" header="0.3" footer="0.3"/>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Kostenfreie</a:t>
            </a:r>
            <a:r>
              <a:rPr lang="en-US" baseline="0"/>
              <a:t> Zuteilungen nach Technologie</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'Markthochlauf Oxyfuel'!$A$66</c:f>
              <c:strCache>
                <c:ptCount val="1"/>
                <c:pt idx="0">
                  <c:v>Kostenfreie Zuteilung konventionelle Produktion [EUA/t Klinker]</c:v>
                </c:pt>
              </c:strCache>
            </c:strRef>
          </c:tx>
          <c:spPr>
            <a:solidFill>
              <a:schemeClr val="accent1"/>
            </a:solidFill>
            <a:ln>
              <a:noFill/>
            </a:ln>
            <a:effectLst/>
          </c:spPr>
          <c:invertIfNegative val="0"/>
          <c:cat>
            <c:numLit>
              <c:formatCode>General</c:formatCode>
              <c:ptCount val="20"/>
              <c:pt idx="0">
                <c:v>2021</c:v>
              </c:pt>
              <c:pt idx="1">
                <c:v>2022</c:v>
              </c:pt>
              <c:pt idx="2">
                <c:v>2023</c:v>
              </c:pt>
              <c:pt idx="3">
                <c:v>2024</c:v>
              </c:pt>
              <c:pt idx="4">
                <c:v>2025</c:v>
              </c:pt>
              <c:pt idx="5">
                <c:v>2026</c:v>
              </c:pt>
              <c:pt idx="6">
                <c:v>2027</c:v>
              </c:pt>
              <c:pt idx="7">
                <c:v>2028</c:v>
              </c:pt>
              <c:pt idx="8">
                <c:v>2029</c:v>
              </c:pt>
              <c:pt idx="9">
                <c:v>2030</c:v>
              </c:pt>
              <c:pt idx="10">
                <c:v>2031</c:v>
              </c:pt>
              <c:pt idx="11">
                <c:v>2032</c:v>
              </c:pt>
              <c:pt idx="12">
                <c:v>2033</c:v>
              </c:pt>
              <c:pt idx="13">
                <c:v>2034</c:v>
              </c:pt>
              <c:pt idx="14">
                <c:v>2035</c:v>
              </c:pt>
              <c:pt idx="15">
                <c:v>2036</c:v>
              </c:pt>
              <c:pt idx="16">
                <c:v>2037</c:v>
              </c:pt>
              <c:pt idx="17">
                <c:v>2038</c:v>
              </c:pt>
              <c:pt idx="18">
                <c:v>2039</c:v>
              </c:pt>
              <c:pt idx="19">
                <c:v>2040</c:v>
              </c:pt>
            </c:numLit>
          </c:cat>
          <c:val>
            <c:numRef>
              <c:f>'Markthochlauf Oxyfuel'!$D$66:$W$66</c:f>
              <c:numCache>
                <c:formatCode>General</c:formatCode>
                <c:ptCount val="20"/>
                <c:pt idx="0">
                  <c:v>0.66733333333333333</c:v>
                </c:pt>
                <c:pt idx="1">
                  <c:v>0.66733333333333333</c:v>
                </c:pt>
                <c:pt idx="2">
                  <c:v>0.66733333333333333</c:v>
                </c:pt>
                <c:pt idx="3">
                  <c:v>0.66733333333333333</c:v>
                </c:pt>
                <c:pt idx="4">
                  <c:v>0.66733333333333333</c:v>
                </c:pt>
                <c:pt idx="5">
                  <c:v>0.60060000000000002</c:v>
                </c:pt>
                <c:pt idx="6">
                  <c:v>0.53386666666666671</c:v>
                </c:pt>
                <c:pt idx="7">
                  <c:v>0.46713333333333329</c:v>
                </c:pt>
                <c:pt idx="8">
                  <c:v>0.40039999999999998</c:v>
                </c:pt>
                <c:pt idx="9">
                  <c:v>0.33366666666666667</c:v>
                </c:pt>
                <c:pt idx="10">
                  <c:v>0.26693333333333336</c:v>
                </c:pt>
                <c:pt idx="11">
                  <c:v>0.20019999999999999</c:v>
                </c:pt>
                <c:pt idx="12">
                  <c:v>0.13346666666666668</c:v>
                </c:pt>
                <c:pt idx="13">
                  <c:v>6.6733333333333339E-2</c:v>
                </c:pt>
                <c:pt idx="14">
                  <c:v>0</c:v>
                </c:pt>
                <c:pt idx="15">
                  <c:v>0</c:v>
                </c:pt>
                <c:pt idx="16">
                  <c:v>0</c:v>
                </c:pt>
                <c:pt idx="17">
                  <c:v>0</c:v>
                </c:pt>
                <c:pt idx="18">
                  <c:v>0</c:v>
                </c:pt>
                <c:pt idx="19">
                  <c:v>0</c:v>
                </c:pt>
              </c:numCache>
            </c:numRef>
          </c:val>
          <c:extLst>
            <c:ext xmlns:c16="http://schemas.microsoft.com/office/drawing/2014/chart" uri="{C3380CC4-5D6E-409C-BE32-E72D297353CC}">
              <c16:uniqueId val="{00000000-387D-4E29-A210-774AF8A9ADE4}"/>
            </c:ext>
          </c:extLst>
        </c:ser>
        <c:ser>
          <c:idx val="1"/>
          <c:order val="1"/>
          <c:tx>
            <c:strRef>
              <c:f>'Markthochlauf Oxyfuel'!$A$67</c:f>
              <c:strCache>
                <c:ptCount val="1"/>
                <c:pt idx="0">
                  <c:v>Kostenfreie Zuteilung Oxyfuel [EUA/t Klinker]</c:v>
                </c:pt>
              </c:strCache>
            </c:strRef>
          </c:tx>
          <c:spPr>
            <a:solidFill>
              <a:schemeClr val="accent2"/>
            </a:solidFill>
            <a:ln>
              <a:noFill/>
            </a:ln>
            <a:effectLst/>
          </c:spPr>
          <c:invertIfNegative val="0"/>
          <c:cat>
            <c:numLit>
              <c:formatCode>General</c:formatCode>
              <c:ptCount val="20"/>
              <c:pt idx="0">
                <c:v>2021</c:v>
              </c:pt>
              <c:pt idx="1">
                <c:v>2022</c:v>
              </c:pt>
              <c:pt idx="2">
                <c:v>2023</c:v>
              </c:pt>
              <c:pt idx="3">
                <c:v>2024</c:v>
              </c:pt>
              <c:pt idx="4">
                <c:v>2025</c:v>
              </c:pt>
              <c:pt idx="5">
                <c:v>2026</c:v>
              </c:pt>
              <c:pt idx="6">
                <c:v>2027</c:v>
              </c:pt>
              <c:pt idx="7">
                <c:v>2028</c:v>
              </c:pt>
              <c:pt idx="8">
                <c:v>2029</c:v>
              </c:pt>
              <c:pt idx="9">
                <c:v>2030</c:v>
              </c:pt>
              <c:pt idx="10">
                <c:v>2031</c:v>
              </c:pt>
              <c:pt idx="11">
                <c:v>2032</c:v>
              </c:pt>
              <c:pt idx="12">
                <c:v>2033</c:v>
              </c:pt>
              <c:pt idx="13">
                <c:v>2034</c:v>
              </c:pt>
              <c:pt idx="14">
                <c:v>2035</c:v>
              </c:pt>
              <c:pt idx="15">
                <c:v>2036</c:v>
              </c:pt>
              <c:pt idx="16">
                <c:v>2037</c:v>
              </c:pt>
              <c:pt idx="17">
                <c:v>2038</c:v>
              </c:pt>
              <c:pt idx="18">
                <c:v>2039</c:v>
              </c:pt>
              <c:pt idx="19">
                <c:v>2040</c:v>
              </c:pt>
            </c:numLit>
          </c:cat>
          <c:val>
            <c:numRef>
              <c:f>'Markthochlauf Oxyfuel'!$D$67:$W$67</c:f>
              <c:numCache>
                <c:formatCode>General</c:formatCode>
                <c:ptCount val="20"/>
                <c:pt idx="0">
                  <c:v>0.66733333333333333</c:v>
                </c:pt>
                <c:pt idx="1">
                  <c:v>0.66733333333333333</c:v>
                </c:pt>
                <c:pt idx="2">
                  <c:v>0.66733333333333333</c:v>
                </c:pt>
                <c:pt idx="3">
                  <c:v>0.66733333333333333</c:v>
                </c:pt>
                <c:pt idx="4">
                  <c:v>0.66733333333333333</c:v>
                </c:pt>
                <c:pt idx="5">
                  <c:v>0.60060000000000002</c:v>
                </c:pt>
                <c:pt idx="6">
                  <c:v>0.53386666666666671</c:v>
                </c:pt>
                <c:pt idx="7">
                  <c:v>0.46713333333333329</c:v>
                </c:pt>
                <c:pt idx="8">
                  <c:v>0.40039999999999998</c:v>
                </c:pt>
                <c:pt idx="9">
                  <c:v>0.33366666666666667</c:v>
                </c:pt>
                <c:pt idx="10">
                  <c:v>0.26693333333333336</c:v>
                </c:pt>
                <c:pt idx="11">
                  <c:v>0.20019999999999999</c:v>
                </c:pt>
                <c:pt idx="12">
                  <c:v>0.13346666666666668</c:v>
                </c:pt>
                <c:pt idx="13">
                  <c:v>6.6733333333333339E-2</c:v>
                </c:pt>
                <c:pt idx="14">
                  <c:v>0</c:v>
                </c:pt>
                <c:pt idx="15">
                  <c:v>0</c:v>
                </c:pt>
                <c:pt idx="16">
                  <c:v>0</c:v>
                </c:pt>
                <c:pt idx="17">
                  <c:v>0</c:v>
                </c:pt>
                <c:pt idx="18">
                  <c:v>0</c:v>
                </c:pt>
                <c:pt idx="19">
                  <c:v>0</c:v>
                </c:pt>
              </c:numCache>
            </c:numRef>
          </c:val>
          <c:extLst>
            <c:ext xmlns:c16="http://schemas.microsoft.com/office/drawing/2014/chart" uri="{C3380CC4-5D6E-409C-BE32-E72D297353CC}">
              <c16:uniqueId val="{00000001-387D-4E29-A210-774AF8A9ADE4}"/>
            </c:ext>
          </c:extLst>
        </c:ser>
        <c:dLbls>
          <c:showLegendKey val="0"/>
          <c:showVal val="0"/>
          <c:showCatName val="0"/>
          <c:showSerName val="0"/>
          <c:showPercent val="0"/>
          <c:showBubbleSize val="0"/>
        </c:dLbls>
        <c:gapWidth val="219"/>
        <c:axId val="830953775"/>
        <c:axId val="830945039"/>
      </c:barChart>
      <c:lineChart>
        <c:grouping val="standard"/>
        <c:varyColors val="0"/>
        <c:ser>
          <c:idx val="3"/>
          <c:order val="2"/>
          <c:tx>
            <c:v>Preis EUA [€/EUA]</c:v>
          </c:tx>
          <c:spPr>
            <a:ln w="28575" cap="rnd">
              <a:solidFill>
                <a:schemeClr val="accent4"/>
              </a:solidFill>
              <a:round/>
            </a:ln>
            <a:effectLst/>
          </c:spPr>
          <c:marker>
            <c:symbol val="none"/>
          </c:marker>
          <c:val>
            <c:numLit>
              <c:formatCode>General</c:formatCode>
              <c:ptCount val="20"/>
              <c:pt idx="0">
                <c:v>50</c:v>
              </c:pt>
              <c:pt idx="1">
                <c:v>52.222222222222221</c:v>
              </c:pt>
              <c:pt idx="2">
                <c:v>54.444444444444443</c:v>
              </c:pt>
              <c:pt idx="3">
                <c:v>56.666666666666664</c:v>
              </c:pt>
              <c:pt idx="4">
                <c:v>58.888888888888886</c:v>
              </c:pt>
              <c:pt idx="5">
                <c:v>61.111111111111114</c:v>
              </c:pt>
              <c:pt idx="6">
                <c:v>63.333333333333336</c:v>
              </c:pt>
              <c:pt idx="7">
                <c:v>65.555555555555557</c:v>
              </c:pt>
              <c:pt idx="8">
                <c:v>67.777777777777771</c:v>
              </c:pt>
              <c:pt idx="9">
                <c:v>70</c:v>
              </c:pt>
              <c:pt idx="10">
                <c:v>72</c:v>
              </c:pt>
              <c:pt idx="11">
                <c:v>74</c:v>
              </c:pt>
              <c:pt idx="12">
                <c:v>76</c:v>
              </c:pt>
              <c:pt idx="13">
                <c:v>78</c:v>
              </c:pt>
              <c:pt idx="14">
                <c:v>80</c:v>
              </c:pt>
              <c:pt idx="15">
                <c:v>82</c:v>
              </c:pt>
              <c:pt idx="16">
                <c:v>84</c:v>
              </c:pt>
              <c:pt idx="17">
                <c:v>86</c:v>
              </c:pt>
              <c:pt idx="18">
                <c:v>88</c:v>
              </c:pt>
              <c:pt idx="19">
                <c:v>90</c:v>
              </c:pt>
            </c:numLit>
          </c:val>
          <c:smooth val="0"/>
          <c:extLst>
            <c:ext xmlns:c16="http://schemas.microsoft.com/office/drawing/2014/chart" uri="{C3380CC4-5D6E-409C-BE32-E72D297353CC}">
              <c16:uniqueId val="{00000003-387D-4E29-A210-774AF8A9ADE4}"/>
            </c:ext>
          </c:extLst>
        </c:ser>
        <c:dLbls>
          <c:showLegendKey val="0"/>
          <c:showVal val="0"/>
          <c:showCatName val="0"/>
          <c:showSerName val="0"/>
          <c:showPercent val="0"/>
          <c:showBubbleSize val="0"/>
        </c:dLbls>
        <c:marker val="1"/>
        <c:smooth val="0"/>
        <c:axId val="828312527"/>
        <c:axId val="828311695"/>
      </c:lineChart>
      <c:catAx>
        <c:axId val="83095377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30945039"/>
        <c:crosses val="autoZero"/>
        <c:auto val="1"/>
        <c:lblAlgn val="ctr"/>
        <c:lblOffset val="100"/>
        <c:noMultiLvlLbl val="0"/>
      </c:catAx>
      <c:valAx>
        <c:axId val="830945039"/>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Kostenfreie Zuteilungen [EUA/t</a:t>
                </a:r>
                <a:r>
                  <a:rPr lang="en-US" baseline="0"/>
                  <a:t> Rohstahl]</a:t>
                </a:r>
                <a:endParaRPr lang="en-US"/>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30953775"/>
        <c:crosses val="autoZero"/>
        <c:crossBetween val="between"/>
      </c:valAx>
      <c:valAx>
        <c:axId val="828311695"/>
        <c:scaling>
          <c:orientation val="minMax"/>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CO2-Preis</a:t>
                </a:r>
                <a:r>
                  <a:rPr lang="en-US" baseline="0"/>
                  <a:t> [€/EUA]</a:t>
                </a:r>
                <a:endParaRPr lang="en-US"/>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28312527"/>
        <c:crosses val="max"/>
        <c:crossBetween val="between"/>
      </c:valAx>
      <c:catAx>
        <c:axId val="828312527"/>
        <c:scaling>
          <c:orientation val="minMax"/>
        </c:scaling>
        <c:delete val="1"/>
        <c:axPos val="b"/>
        <c:majorTickMark val="out"/>
        <c:minorTickMark val="none"/>
        <c:tickLblPos val="nextTo"/>
        <c:crossAx val="828311695"/>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4963605517666846E-2"/>
          <c:y val="4.9850243913450998E-2"/>
          <c:w val="0.85992333648062536"/>
          <c:h val="0.77812527777777796"/>
        </c:manualLayout>
      </c:layout>
      <c:areaChart>
        <c:grouping val="stacked"/>
        <c:varyColors val="0"/>
        <c:ser>
          <c:idx val="0"/>
          <c:order val="0"/>
          <c:tx>
            <c:strRef>
              <c:f>Diagrammtabelle!$C$38</c:f>
              <c:strCache>
                <c:ptCount val="1"/>
                <c:pt idx="0">
                  <c:v>CAPEX</c:v>
                </c:pt>
              </c:strCache>
            </c:strRef>
          </c:tx>
          <c:spPr>
            <a:solidFill>
              <a:srgbClr val="72AFC8"/>
            </a:solidFill>
            <a:ln>
              <a:noFill/>
            </a:ln>
            <a:effectLst/>
          </c:spPr>
          <c:cat>
            <c:numRef>
              <c:f>Diagrammtabelle!$D$37:$F$37</c:f>
              <c:numCache>
                <c:formatCode>0</c:formatCode>
                <c:ptCount val="3"/>
                <c:pt idx="0">
                  <c:v>0</c:v>
                </c:pt>
                <c:pt idx="1">
                  <c:v>58.808942871714393</c:v>
                </c:pt>
                <c:pt idx="2">
                  <c:v>70.802908600104431</c:v>
                </c:pt>
              </c:numCache>
            </c:numRef>
          </c:cat>
          <c:val>
            <c:numRef>
              <c:f>Diagrammtabelle!$D$38:$F$38</c:f>
              <c:numCache>
                <c:formatCode>0</c:formatCode>
                <c:ptCount val="3"/>
                <c:pt idx="0">
                  <c:v>11.993965728390037</c:v>
                </c:pt>
                <c:pt idx="1">
                  <c:v>11.993965728390037</c:v>
                </c:pt>
                <c:pt idx="2">
                  <c:v>0</c:v>
                </c:pt>
              </c:numCache>
            </c:numRef>
          </c:val>
          <c:extLst>
            <c:ext xmlns:c16="http://schemas.microsoft.com/office/drawing/2014/chart" uri="{C3380CC4-5D6E-409C-BE32-E72D297353CC}">
              <c16:uniqueId val="{00000000-37E0-4B7D-915E-3B2671A1C28A}"/>
            </c:ext>
          </c:extLst>
        </c:ser>
        <c:ser>
          <c:idx val="1"/>
          <c:order val="1"/>
          <c:tx>
            <c:strRef>
              <c:f>Diagrammtabelle!$C$39</c:f>
              <c:strCache>
                <c:ptCount val="1"/>
                <c:pt idx="0">
                  <c:v>OPEX</c:v>
                </c:pt>
              </c:strCache>
            </c:strRef>
          </c:tx>
          <c:spPr>
            <a:solidFill>
              <a:srgbClr val="2FAC66"/>
            </a:solidFill>
            <a:ln>
              <a:noFill/>
            </a:ln>
            <a:effectLst/>
          </c:spPr>
          <c:cat>
            <c:numRef>
              <c:f>Diagrammtabelle!$D$37:$F$37</c:f>
              <c:numCache>
                <c:formatCode>0</c:formatCode>
                <c:ptCount val="3"/>
                <c:pt idx="0">
                  <c:v>0</c:v>
                </c:pt>
                <c:pt idx="1">
                  <c:v>58.808942871714393</c:v>
                </c:pt>
                <c:pt idx="2">
                  <c:v>70.802908600104431</c:v>
                </c:pt>
              </c:numCache>
            </c:numRef>
          </c:cat>
          <c:val>
            <c:numRef>
              <c:f>Diagrammtabelle!$D$39:$F$39</c:f>
              <c:numCache>
                <c:formatCode>0</c:formatCode>
                <c:ptCount val="3"/>
                <c:pt idx="0">
                  <c:v>58.808942871714393</c:v>
                </c:pt>
                <c:pt idx="1">
                  <c:v>0</c:v>
                </c:pt>
                <c:pt idx="2">
                  <c:v>0</c:v>
                </c:pt>
              </c:numCache>
            </c:numRef>
          </c:val>
          <c:extLst>
            <c:ext xmlns:c16="http://schemas.microsoft.com/office/drawing/2014/chart" uri="{C3380CC4-5D6E-409C-BE32-E72D297353CC}">
              <c16:uniqueId val="{00000001-37E0-4B7D-915E-3B2671A1C28A}"/>
            </c:ext>
          </c:extLst>
        </c:ser>
        <c:ser>
          <c:idx val="2"/>
          <c:order val="2"/>
          <c:tx>
            <c:strRef>
              <c:f>Diagrammtabelle!$C$40</c:f>
              <c:strCache>
                <c:ptCount val="1"/>
                <c:pt idx="0">
                  <c:v>Zuteilung</c:v>
                </c:pt>
              </c:strCache>
            </c:strRef>
          </c:tx>
          <c:spPr>
            <a:solidFill>
              <a:schemeClr val="accent3"/>
            </a:solidFill>
            <a:ln>
              <a:noFill/>
            </a:ln>
            <a:effectLst/>
          </c:spPr>
          <c:cat>
            <c:numRef>
              <c:f>Diagrammtabelle!$D$37:$F$37</c:f>
              <c:numCache>
                <c:formatCode>0</c:formatCode>
                <c:ptCount val="3"/>
                <c:pt idx="0">
                  <c:v>0</c:v>
                </c:pt>
                <c:pt idx="1">
                  <c:v>58.808942871714393</c:v>
                </c:pt>
                <c:pt idx="2">
                  <c:v>70.802908600104431</c:v>
                </c:pt>
              </c:numCache>
            </c:numRef>
          </c:cat>
          <c:val>
            <c:numRef>
              <c:f>Diagrammtabelle!$D$40:$F$40</c:f>
              <c:numCache>
                <c:formatCode>0</c:formatCode>
                <c:ptCount val="3"/>
                <c:pt idx="0">
                  <c:v>0</c:v>
                </c:pt>
                <c:pt idx="1">
                  <c:v>0</c:v>
                </c:pt>
                <c:pt idx="2">
                  <c:v>0</c:v>
                </c:pt>
              </c:numCache>
            </c:numRef>
          </c:val>
          <c:extLst>
            <c:ext xmlns:c16="http://schemas.microsoft.com/office/drawing/2014/chart" uri="{C3380CC4-5D6E-409C-BE32-E72D297353CC}">
              <c16:uniqueId val="{00000002-37E0-4B7D-915E-3B2671A1C28A}"/>
            </c:ext>
          </c:extLst>
        </c:ser>
        <c:dLbls>
          <c:showLegendKey val="0"/>
          <c:showVal val="0"/>
          <c:showCatName val="0"/>
          <c:showSerName val="0"/>
          <c:showPercent val="0"/>
          <c:showBubbleSize val="0"/>
        </c:dLbls>
        <c:axId val="-2075993592"/>
        <c:axId val="-2075987416"/>
      </c:areaChart>
      <c:dateAx>
        <c:axId val="-2075993592"/>
        <c:scaling>
          <c:orientation val="minMax"/>
        </c:scaling>
        <c:delete val="0"/>
        <c:axPos val="b"/>
        <c:majorGridlines>
          <c:spPr>
            <a:ln w="9525" cap="flat" cmpd="sng" algn="ctr">
              <a:solidFill>
                <a:schemeClr val="bg1"/>
              </a:solidFill>
              <a:round/>
            </a:ln>
            <a:effectLst/>
          </c:spPr>
        </c:majorGridlines>
        <c:title>
          <c:tx>
            <c:rich>
              <a:bodyPr/>
              <a:lstStyle/>
              <a:p>
                <a:pPr>
                  <a:defRPr/>
                </a:pPr>
                <a:r>
                  <a:rPr lang="de-DE"/>
                  <a:t>EUA Preis [€/EUA]</a:t>
                </a:r>
              </a:p>
            </c:rich>
          </c:tx>
          <c:layout>
            <c:manualLayout>
              <c:xMode val="edge"/>
              <c:yMode val="edge"/>
              <c:x val="0.46623336856795705"/>
              <c:y val="0.91639251591618864"/>
            </c:manualLayout>
          </c:layout>
          <c:overlay val="0"/>
        </c:title>
        <c:numFmt formatCode="0" sourceLinked="1"/>
        <c:majorTickMark val="none"/>
        <c:minorTickMark val="none"/>
        <c:tickLblPos val="low"/>
        <c:spPr>
          <a:noFill/>
          <a:ln w="19050" cap="flat" cmpd="sng" algn="ctr">
            <a:solidFill>
              <a:schemeClr val="bg2"/>
            </a:solidFill>
            <a:round/>
          </a:ln>
          <a:effectLst/>
        </c:spPr>
        <c:txPr>
          <a:bodyPr rot="-60000000" spcFirstLastPara="1" vertOverflow="ellipsis" vert="horz" wrap="square" anchor="ctr" anchorCtr="1"/>
          <a:lstStyle/>
          <a:p>
            <a:pPr>
              <a:defRPr sz="14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2075987416"/>
        <c:crosses val="autoZero"/>
        <c:auto val="0"/>
        <c:lblOffset val="100"/>
        <c:baseTimeUnit val="days"/>
        <c:majorUnit val="15"/>
        <c:majorTimeUnit val="days"/>
        <c:minorUnit val="2"/>
        <c:minorTimeUnit val="days"/>
      </c:dateAx>
      <c:valAx>
        <c:axId val="-2075987416"/>
        <c:scaling>
          <c:orientation val="minMax"/>
        </c:scaling>
        <c:delete val="0"/>
        <c:axPos val="l"/>
        <c:majorGridlines>
          <c:spPr>
            <a:ln w="6350" cap="flat" cmpd="sng" algn="ctr">
              <a:solidFill>
                <a:schemeClr val="bg1"/>
              </a:solidFill>
              <a:round/>
            </a:ln>
            <a:effectLst/>
          </c:spPr>
        </c:majorGridlines>
        <c:title>
          <c:tx>
            <c:rich>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r>
                  <a:rPr lang="de-DE" sz="1000" b="1" i="0" u="none" strike="noStrike" baseline="0">
                    <a:solidFill>
                      <a:sysClr val="windowText" lastClr="000000"/>
                    </a:solidFill>
                    <a:effectLst/>
                  </a:rPr>
                  <a:t>Mehrkosten €/t Klinker</a:t>
                </a:r>
                <a:endParaRPr lang="de-DE" sz="1000" b="1">
                  <a:solidFill>
                    <a:sysClr val="windowText" lastClr="000000"/>
                  </a:solidFill>
                  <a:latin typeface="Arial" panose="020B0604020202020204" pitchFamily="34" charset="0"/>
                  <a:cs typeface="Arial" panose="020B0604020202020204" pitchFamily="34" charset="0"/>
                </a:endParaRPr>
              </a:p>
            </c:rich>
          </c:tx>
          <c:layout>
            <c:manualLayout>
              <c:xMode val="edge"/>
              <c:yMode val="edge"/>
              <c:x val="1.7872004273295293E-2"/>
              <c:y val="0.19842286466583703"/>
            </c:manualLayout>
          </c:layout>
          <c:overlay val="0"/>
          <c:spPr>
            <a:noFill/>
            <a:ln>
              <a:noFill/>
            </a:ln>
            <a:effectLst/>
          </c:spPr>
        </c:title>
        <c:numFmt formatCode="0" sourceLinked="1"/>
        <c:majorTickMark val="none"/>
        <c:minorTickMark val="none"/>
        <c:tickLblPos val="nextTo"/>
        <c:spPr>
          <a:noFill/>
          <a:ln w="19050">
            <a:solidFill>
              <a:schemeClr val="bg2"/>
            </a:solidFill>
          </a:ln>
          <a:effectLst/>
        </c:spPr>
        <c:txPr>
          <a:bodyPr rot="-60000000" spcFirstLastPara="1" vertOverflow="ellipsis" vert="horz" wrap="square" anchor="ctr" anchorCtr="1"/>
          <a:lstStyle/>
          <a:p>
            <a:pPr>
              <a:defRPr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2075993592"/>
        <c:crosses val="autoZero"/>
        <c:crossBetween val="midCat"/>
      </c:valAx>
      <c:spPr>
        <a:noFill/>
        <a:ln>
          <a:noFill/>
        </a:ln>
        <a:effectLst/>
      </c:spPr>
    </c:plotArea>
    <c:legend>
      <c:legendPos val="b"/>
      <c:layout>
        <c:manualLayout>
          <c:xMode val="edge"/>
          <c:yMode val="edge"/>
          <c:x val="0.11225991867196816"/>
          <c:y val="0.91189798811961931"/>
          <c:w val="0.30905956902530235"/>
          <c:h val="7.1711935785117351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rgbClr val="E3E4EA"/>
    </a:solidFill>
    <a:ln w="9525" cap="flat" cmpd="sng" algn="ctr">
      <a:noFill/>
      <a:round/>
    </a:ln>
    <a:effectLst/>
  </c:spPr>
  <c:txPr>
    <a:bodyPr/>
    <a:lstStyle/>
    <a:p>
      <a:pPr>
        <a:defRPr/>
      </a:pPr>
      <a:endParaRPr lang="en-US"/>
    </a:p>
  </c:txPr>
  <c:printSettings>
    <c:headerFooter/>
    <c:pageMargins b="0.78740157499999996" l="0.7" r="0.7" t="0.78740157499999996"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4189224459359"/>
          <c:y val="4.5226111111111099E-2"/>
          <c:w val="0.82810906040268495"/>
          <c:h val="0.718434240072093"/>
        </c:manualLayout>
      </c:layout>
      <c:barChart>
        <c:barDir val="col"/>
        <c:grouping val="stacked"/>
        <c:varyColors val="0"/>
        <c:ser>
          <c:idx val="0"/>
          <c:order val="0"/>
          <c:tx>
            <c:strRef>
              <c:f>Diagrammtabelle!$C$32</c:f>
              <c:strCache>
                <c:ptCount val="1"/>
                <c:pt idx="0">
                  <c:v>CAPEX</c:v>
                </c:pt>
              </c:strCache>
            </c:strRef>
          </c:tx>
          <c:spPr>
            <a:solidFill>
              <a:srgbClr val="72AFC8"/>
            </a:solidFill>
          </c:spPr>
          <c:invertIfNegative val="0"/>
          <c:dLbls>
            <c:spPr>
              <a:noFill/>
              <a:ln>
                <a:noFill/>
              </a:ln>
              <a:effectLst/>
            </c:spPr>
            <c:txPr>
              <a:bodyPr/>
              <a:lstStyle/>
              <a:p>
                <a:pPr>
                  <a:defRPr sz="1000">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Diagrammtabelle!$E$26:$F$26</c:f>
              <c:strCache>
                <c:ptCount val="2"/>
                <c:pt idx="0">
                  <c:v>Oxyfuel</c:v>
                </c:pt>
                <c:pt idx="1">
                  <c:v>E-LEILAC</c:v>
                </c:pt>
              </c:strCache>
            </c:strRef>
          </c:cat>
          <c:val>
            <c:numRef>
              <c:f>Diagrammtabelle!$E$32:$F$32</c:f>
              <c:numCache>
                <c:formatCode>0</c:formatCode>
                <c:ptCount val="2"/>
                <c:pt idx="0">
                  <c:v>11.993965728390037</c:v>
                </c:pt>
                <c:pt idx="1">
                  <c:v>4.4718304168335585</c:v>
                </c:pt>
              </c:numCache>
            </c:numRef>
          </c:val>
          <c:extLst>
            <c:ext xmlns:c16="http://schemas.microsoft.com/office/drawing/2014/chart" uri="{C3380CC4-5D6E-409C-BE32-E72D297353CC}">
              <c16:uniqueId val="{00000000-B5FA-42CA-AD7B-141B06D761E0}"/>
            </c:ext>
          </c:extLst>
        </c:ser>
        <c:ser>
          <c:idx val="1"/>
          <c:order val="1"/>
          <c:tx>
            <c:strRef>
              <c:f>Diagrammtabelle!$C$33</c:f>
              <c:strCache>
                <c:ptCount val="1"/>
                <c:pt idx="0">
                  <c:v>OPEX (ohne EUA-Kosten)</c:v>
                </c:pt>
              </c:strCache>
            </c:strRef>
          </c:tx>
          <c:spPr>
            <a:solidFill>
              <a:srgbClr val="2FAC66"/>
            </a:solidFill>
          </c:spPr>
          <c:invertIfNegative val="0"/>
          <c:dLbls>
            <c:spPr>
              <a:noFill/>
              <a:ln>
                <a:noFill/>
              </a:ln>
              <a:effectLst/>
            </c:spPr>
            <c:txPr>
              <a:bodyPr/>
              <a:lstStyle/>
              <a:p>
                <a:pPr>
                  <a:defRPr sz="1050">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Diagrammtabelle!$E$26:$F$26</c:f>
              <c:strCache>
                <c:ptCount val="2"/>
                <c:pt idx="0">
                  <c:v>Oxyfuel</c:v>
                </c:pt>
                <c:pt idx="1">
                  <c:v>E-LEILAC</c:v>
                </c:pt>
              </c:strCache>
            </c:strRef>
          </c:cat>
          <c:val>
            <c:numRef>
              <c:f>Diagrammtabelle!$E$33:$F$33</c:f>
              <c:numCache>
                <c:formatCode>0</c:formatCode>
                <c:ptCount val="2"/>
                <c:pt idx="0">
                  <c:v>58.808942871714393</c:v>
                </c:pt>
                <c:pt idx="1">
                  <c:v>97.567979480877838</c:v>
                </c:pt>
              </c:numCache>
            </c:numRef>
          </c:val>
          <c:extLst>
            <c:ext xmlns:c16="http://schemas.microsoft.com/office/drawing/2014/chart" uri="{C3380CC4-5D6E-409C-BE32-E72D297353CC}">
              <c16:uniqueId val="{00000001-B5FA-42CA-AD7B-141B06D761E0}"/>
            </c:ext>
          </c:extLst>
        </c:ser>
        <c:dLbls>
          <c:showLegendKey val="0"/>
          <c:showVal val="0"/>
          <c:showCatName val="0"/>
          <c:showSerName val="0"/>
          <c:showPercent val="0"/>
          <c:showBubbleSize val="0"/>
        </c:dLbls>
        <c:gapWidth val="100"/>
        <c:overlap val="100"/>
        <c:axId val="-2075939928"/>
        <c:axId val="-2075936216"/>
      </c:barChart>
      <c:catAx>
        <c:axId val="-2075939928"/>
        <c:scaling>
          <c:orientation val="minMax"/>
        </c:scaling>
        <c:delete val="0"/>
        <c:axPos val="b"/>
        <c:majorGridlines>
          <c:spPr>
            <a:ln w="9525" cap="flat" cmpd="sng" algn="ctr">
              <a:solidFill>
                <a:schemeClr val="bg1"/>
              </a:solidFill>
              <a:round/>
            </a:ln>
            <a:effectLst/>
          </c:spPr>
        </c:majorGridlines>
        <c:numFmt formatCode="General" sourceLinked="1"/>
        <c:majorTickMark val="none"/>
        <c:minorTickMark val="none"/>
        <c:tickLblPos val="nextTo"/>
        <c:spPr>
          <a:noFill/>
          <a:ln w="19050" cap="flat" cmpd="sng" algn="ctr">
            <a:solidFill>
              <a:schemeClr val="bg2"/>
            </a:solidFill>
            <a:round/>
          </a:ln>
          <a:effectLst/>
        </c:spPr>
        <c:txPr>
          <a:bodyPr rot="-60000000" spcFirstLastPara="1" vertOverflow="ellipsis" vert="horz" wrap="square" anchor="ctr" anchorCtr="1"/>
          <a:lstStyle/>
          <a:p>
            <a:pPr>
              <a:defRPr sz="105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2075936216"/>
        <c:crosses val="autoZero"/>
        <c:auto val="1"/>
        <c:lblAlgn val="ctr"/>
        <c:lblOffset val="100"/>
        <c:noMultiLvlLbl val="0"/>
      </c:catAx>
      <c:valAx>
        <c:axId val="-2075936216"/>
        <c:scaling>
          <c:orientation val="minMax"/>
        </c:scaling>
        <c:delete val="0"/>
        <c:axPos val="l"/>
        <c:majorGridlines>
          <c:spPr>
            <a:ln w="6350" cap="flat" cmpd="sng" algn="ctr">
              <a:solidFill>
                <a:schemeClr val="bg1"/>
              </a:solidFill>
              <a:round/>
            </a:ln>
            <a:effectLst/>
          </c:spPr>
        </c:majorGridlines>
        <c:title>
          <c:tx>
            <c:rich>
              <a:bodyPr rot="-54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r>
                  <a:rPr lang="de-DE" sz="1000" b="1" i="0" baseline="0">
                    <a:solidFill>
                      <a:schemeClr val="tx1"/>
                    </a:solidFill>
                    <a:effectLst/>
                  </a:rPr>
                  <a:t>CO</a:t>
                </a:r>
                <a:r>
                  <a:rPr lang="de-DE" sz="1000" b="1" i="0" baseline="-25000">
                    <a:solidFill>
                      <a:schemeClr val="tx1"/>
                    </a:solidFill>
                    <a:effectLst/>
                  </a:rPr>
                  <a:t>2</a:t>
                </a:r>
                <a:r>
                  <a:rPr lang="de-DE" sz="1000" b="1" i="0" baseline="0">
                    <a:solidFill>
                      <a:schemeClr val="tx1"/>
                    </a:solidFill>
                    <a:effectLst/>
                  </a:rPr>
                  <a:t>-Minderungskosten (€/tCO</a:t>
                </a:r>
                <a:r>
                  <a:rPr lang="de-DE" sz="1000" b="1" i="0" baseline="-25000">
                    <a:solidFill>
                      <a:schemeClr val="tx1"/>
                    </a:solidFill>
                    <a:effectLst/>
                  </a:rPr>
                  <a:t>2</a:t>
                </a:r>
                <a:r>
                  <a:rPr lang="de-DE" sz="1000" b="1" i="0" baseline="0">
                    <a:solidFill>
                      <a:schemeClr val="tx1"/>
                    </a:solidFill>
                    <a:effectLst/>
                  </a:rPr>
                  <a:t>)</a:t>
                </a:r>
                <a:endParaRPr lang="en-US" sz="1000">
                  <a:solidFill>
                    <a:schemeClr val="tx1"/>
                  </a:solidFill>
                  <a:effectLst/>
                </a:endParaRPr>
              </a:p>
            </c:rich>
          </c:tx>
          <c:layout>
            <c:manualLayout>
              <c:xMode val="edge"/>
              <c:yMode val="edge"/>
              <c:x val="6.0260994358592168E-2"/>
              <c:y val="0.12500293508076896"/>
            </c:manualLayout>
          </c:layout>
          <c:overlay val="0"/>
          <c:spPr>
            <a:noFill/>
            <a:ln>
              <a:noFill/>
            </a:ln>
            <a:effectLst/>
          </c:spPr>
        </c:title>
        <c:numFmt formatCode="0" sourceLinked="1"/>
        <c:majorTickMark val="none"/>
        <c:minorTickMark val="none"/>
        <c:tickLblPos val="nextTo"/>
        <c:spPr>
          <a:noFill/>
          <a:ln w="19050">
            <a:solidFill>
              <a:schemeClr val="bg2"/>
            </a:solidFill>
          </a:ln>
          <a:effectLst/>
        </c:spPr>
        <c:txPr>
          <a:bodyPr rot="-60000000" spcFirstLastPara="1" vertOverflow="ellipsis" vert="horz" wrap="square" anchor="ctr" anchorCtr="1"/>
          <a:lstStyle/>
          <a:p>
            <a:pPr>
              <a:defRPr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2075939928"/>
        <c:crosses val="autoZero"/>
        <c:crossBetween val="between"/>
      </c:valAx>
      <c:spPr>
        <a:noFill/>
        <a:ln>
          <a:noFill/>
        </a:ln>
        <a:effectLst/>
      </c:spPr>
    </c:plotArea>
    <c:legend>
      <c:legendPos val="b"/>
      <c:layout>
        <c:manualLayout>
          <c:xMode val="edge"/>
          <c:yMode val="edge"/>
          <c:x val="0.22506559025072401"/>
          <c:y val="0.86550716786819004"/>
          <c:w val="0.569218235271994"/>
          <c:h val="8.4505768425529301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rgbClr val="E3E4EA"/>
    </a:solidFill>
    <a:ln w="9525" cap="flat" cmpd="sng" algn="ctr">
      <a:noFill/>
      <a:round/>
    </a:ln>
    <a:effectLst/>
  </c:spPr>
  <c:txPr>
    <a:bodyPr/>
    <a:lstStyle/>
    <a:p>
      <a:pPr>
        <a:defRPr/>
      </a:pPr>
      <a:endParaRPr lang="en-US"/>
    </a:p>
  </c:txPr>
  <c:printSettings>
    <c:headerFooter/>
    <c:pageMargins b="0.78740157499999996" l="0.7" r="0.7" t="0.78740157499999996"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4189224459359"/>
          <c:y val="7.0362853693964458E-2"/>
          <c:w val="0.82810906040268495"/>
          <c:h val="0.72371178044260132"/>
        </c:manualLayout>
      </c:layout>
      <c:barChart>
        <c:barDir val="col"/>
        <c:grouping val="stacked"/>
        <c:varyColors val="0"/>
        <c:ser>
          <c:idx val="9"/>
          <c:order val="0"/>
          <c:tx>
            <c:strRef>
              <c:f>Diagrammtabelle!$C$23</c:f>
              <c:strCache>
                <c:ptCount val="1"/>
                <c:pt idx="0">
                  <c:v>allg. Betriebskosten</c:v>
                </c:pt>
              </c:strCache>
            </c:strRef>
          </c:tx>
          <c:invertIfNegative val="0"/>
          <c:dLbls>
            <c:spPr>
              <a:noFill/>
              <a:ln>
                <a:noFill/>
              </a:ln>
              <a:effectLst/>
            </c:spPr>
            <c:txPr>
              <a:bodyPr/>
              <a:lstStyle/>
              <a:p>
                <a:pPr>
                  <a:defRPr sz="1000">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Diagrammtabelle!$D$16:$F$16</c:f>
              <c:strCache>
                <c:ptCount val="3"/>
                <c:pt idx="0">
                  <c:v>Referenz</c:v>
                </c:pt>
                <c:pt idx="1">
                  <c:v>Oxyfuel</c:v>
                </c:pt>
                <c:pt idx="2">
                  <c:v>E-LEILAC</c:v>
                </c:pt>
              </c:strCache>
            </c:strRef>
          </c:cat>
          <c:val>
            <c:numRef>
              <c:f>Diagrammtabelle!$D$23:$F$23</c:f>
              <c:numCache>
                <c:formatCode>0</c:formatCode>
                <c:ptCount val="3"/>
                <c:pt idx="0">
                  <c:v>20</c:v>
                </c:pt>
                <c:pt idx="1">
                  <c:v>24.694708276797829</c:v>
                </c:pt>
                <c:pt idx="2">
                  <c:v>22</c:v>
                </c:pt>
              </c:numCache>
            </c:numRef>
          </c:val>
          <c:extLst>
            <c:ext xmlns:c16="http://schemas.microsoft.com/office/drawing/2014/chart" uri="{C3380CC4-5D6E-409C-BE32-E72D297353CC}">
              <c16:uniqueId val="{0000000D-87A4-456B-B423-11D4935C5E5D}"/>
            </c:ext>
          </c:extLst>
        </c:ser>
        <c:ser>
          <c:idx val="0"/>
          <c:order val="1"/>
          <c:tx>
            <c:strRef>
              <c:f>Diagrammtabelle!$C$17</c:f>
              <c:strCache>
                <c:ptCount val="1"/>
                <c:pt idx="0">
                  <c:v>Rohmehl</c:v>
                </c:pt>
              </c:strCache>
            </c:strRef>
          </c:tx>
          <c:spPr>
            <a:solidFill>
              <a:schemeClr val="accent1"/>
            </a:solidFill>
            <a:ln>
              <a:noFill/>
            </a:ln>
            <a:effectLst/>
          </c:spPr>
          <c:invertIfNegative val="0"/>
          <c:dLbls>
            <c:spPr>
              <a:noFill/>
              <a:ln>
                <a:noFill/>
              </a:ln>
              <a:effectLst/>
            </c:spPr>
            <c:txPr>
              <a:bodyPr/>
              <a:lstStyle/>
              <a:p>
                <a:pPr>
                  <a:defRPr sz="1000">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Diagrammtabelle!$D$16:$F$16</c:f>
              <c:strCache>
                <c:ptCount val="3"/>
                <c:pt idx="0">
                  <c:v>Referenz</c:v>
                </c:pt>
                <c:pt idx="1">
                  <c:v>Oxyfuel</c:v>
                </c:pt>
                <c:pt idx="2">
                  <c:v>E-LEILAC</c:v>
                </c:pt>
              </c:strCache>
            </c:strRef>
          </c:cat>
          <c:val>
            <c:numRef>
              <c:f>Diagrammtabelle!$D$17:$F$17</c:f>
              <c:numCache>
                <c:formatCode>0</c:formatCode>
                <c:ptCount val="3"/>
                <c:pt idx="0">
                  <c:v>8</c:v>
                </c:pt>
                <c:pt idx="1">
                  <c:v>8</c:v>
                </c:pt>
                <c:pt idx="2">
                  <c:v>8</c:v>
                </c:pt>
              </c:numCache>
            </c:numRef>
          </c:val>
          <c:extLst>
            <c:ext xmlns:c16="http://schemas.microsoft.com/office/drawing/2014/chart" uri="{C3380CC4-5D6E-409C-BE32-E72D297353CC}">
              <c16:uniqueId val="{00000000-03E3-435C-9CF3-5825191EEB92}"/>
            </c:ext>
          </c:extLst>
        </c:ser>
        <c:ser>
          <c:idx val="4"/>
          <c:order val="2"/>
          <c:tx>
            <c:strRef>
              <c:f>Diagrammtabelle!$C$21</c:f>
              <c:strCache>
                <c:ptCount val="1"/>
                <c:pt idx="0">
                  <c:v>Brennstoffe</c:v>
                </c:pt>
              </c:strCache>
            </c:strRef>
          </c:tx>
          <c:spPr>
            <a:solidFill>
              <a:schemeClr val="accent5"/>
            </a:solidFill>
          </c:spPr>
          <c:invertIfNegative val="0"/>
          <c:dPt>
            <c:idx val="1"/>
            <c:invertIfNegative val="0"/>
            <c:bubble3D val="0"/>
            <c:extLst>
              <c:ext xmlns:c16="http://schemas.microsoft.com/office/drawing/2014/chart" uri="{C3380CC4-5D6E-409C-BE32-E72D297353CC}">
                <c16:uniqueId val="{00000009-87A4-456B-B423-11D4935C5E5D}"/>
              </c:ext>
            </c:extLst>
          </c:dPt>
          <c:dPt>
            <c:idx val="2"/>
            <c:invertIfNegative val="0"/>
            <c:bubble3D val="0"/>
            <c:extLst>
              <c:ext xmlns:c16="http://schemas.microsoft.com/office/drawing/2014/chart" uri="{C3380CC4-5D6E-409C-BE32-E72D297353CC}">
                <c16:uniqueId val="{00000003-293F-AD40-8DC3-11F4F5E0D39F}"/>
              </c:ext>
            </c:extLst>
          </c:dPt>
          <c:dLbls>
            <c:spPr>
              <a:noFill/>
              <a:ln>
                <a:noFill/>
              </a:ln>
              <a:effectLst/>
            </c:spPr>
            <c:txPr>
              <a:bodyPr/>
              <a:lstStyle/>
              <a:p>
                <a:pPr>
                  <a:defRPr sz="1000">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Diagrammtabelle!$D$16:$F$16</c:f>
              <c:strCache>
                <c:ptCount val="3"/>
                <c:pt idx="0">
                  <c:v>Referenz</c:v>
                </c:pt>
                <c:pt idx="1">
                  <c:v>Oxyfuel</c:v>
                </c:pt>
                <c:pt idx="2">
                  <c:v>E-LEILAC</c:v>
                </c:pt>
              </c:strCache>
            </c:strRef>
          </c:cat>
          <c:val>
            <c:numRef>
              <c:f>Diagrammtabelle!$D$21:$F$21</c:f>
              <c:numCache>
                <c:formatCode>0</c:formatCode>
                <c:ptCount val="3"/>
                <c:pt idx="0">
                  <c:v>3.8726348987755173</c:v>
                </c:pt>
                <c:pt idx="1">
                  <c:v>3.8726348987755173</c:v>
                </c:pt>
                <c:pt idx="2">
                  <c:v>1.8154910597868283</c:v>
                </c:pt>
              </c:numCache>
            </c:numRef>
          </c:val>
          <c:extLst>
            <c:ext xmlns:c16="http://schemas.microsoft.com/office/drawing/2014/chart" uri="{C3380CC4-5D6E-409C-BE32-E72D297353CC}">
              <c16:uniqueId val="{0000000A-87A4-456B-B423-11D4935C5E5D}"/>
            </c:ext>
          </c:extLst>
        </c:ser>
        <c:ser>
          <c:idx val="5"/>
          <c:order val="3"/>
          <c:tx>
            <c:strRef>
              <c:f>Diagrammtabelle!$C$22</c:f>
              <c:strCache>
                <c:ptCount val="1"/>
                <c:pt idx="0">
                  <c:v>Strom</c:v>
                </c:pt>
              </c:strCache>
            </c:strRef>
          </c:tx>
          <c:invertIfNegative val="0"/>
          <c:dLbls>
            <c:spPr>
              <a:noFill/>
              <a:ln>
                <a:noFill/>
              </a:ln>
              <a:effectLst/>
            </c:spPr>
            <c:txPr>
              <a:bodyPr/>
              <a:lstStyle/>
              <a:p>
                <a:pPr>
                  <a:defRPr sz="1000">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Diagrammtabelle!$D$16:$F$16</c:f>
              <c:strCache>
                <c:ptCount val="3"/>
                <c:pt idx="0">
                  <c:v>Referenz</c:v>
                </c:pt>
                <c:pt idx="1">
                  <c:v>Oxyfuel</c:v>
                </c:pt>
                <c:pt idx="2">
                  <c:v>E-LEILAC</c:v>
                </c:pt>
              </c:strCache>
            </c:strRef>
          </c:cat>
          <c:val>
            <c:numRef>
              <c:f>Diagrammtabelle!$D$22:$F$22</c:f>
              <c:numCache>
                <c:formatCode>0</c:formatCode>
                <c:ptCount val="3"/>
                <c:pt idx="0">
                  <c:v>4.375</c:v>
                </c:pt>
                <c:pt idx="1">
                  <c:v>13.384398188875002</c:v>
                </c:pt>
                <c:pt idx="2">
                  <c:v>47.03989051443871</c:v>
                </c:pt>
              </c:numCache>
            </c:numRef>
          </c:val>
          <c:extLst>
            <c:ext xmlns:c16="http://schemas.microsoft.com/office/drawing/2014/chart" uri="{C3380CC4-5D6E-409C-BE32-E72D297353CC}">
              <c16:uniqueId val="{0000000C-87A4-456B-B423-11D4935C5E5D}"/>
            </c:ext>
          </c:extLst>
        </c:ser>
        <c:ser>
          <c:idx val="1"/>
          <c:order val="4"/>
          <c:tx>
            <c:strRef>
              <c:f>Diagrammtabelle!$C$18</c:f>
              <c:strCache>
                <c:ptCount val="1"/>
                <c:pt idx="0">
                  <c:v>Sauerstoff</c:v>
                </c:pt>
              </c:strCache>
            </c:strRef>
          </c:tx>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4-293F-AD40-8DC3-11F4F5E0D39F}"/>
                </c:ext>
              </c:extLst>
            </c:dLbl>
            <c:dLbl>
              <c:idx val="2"/>
              <c:delete val="1"/>
              <c:extLst>
                <c:ext xmlns:c15="http://schemas.microsoft.com/office/drawing/2012/chart" uri="{CE6537A1-D6FC-4f65-9D91-7224C49458BB}"/>
                <c:ext xmlns:c16="http://schemas.microsoft.com/office/drawing/2014/chart" uri="{C3380CC4-5D6E-409C-BE32-E72D297353CC}">
                  <c16:uniqueId val="{00000005-293F-AD40-8DC3-11F4F5E0D39F}"/>
                </c:ext>
              </c:extLst>
            </c:dLbl>
            <c:spPr>
              <a:noFill/>
              <a:ln>
                <a:noFill/>
              </a:ln>
              <a:effectLst/>
            </c:spPr>
            <c:txPr>
              <a:bodyPr/>
              <a:lstStyle/>
              <a:p>
                <a:pPr>
                  <a:defRPr sz="1000">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Diagrammtabelle!$D$16:$F$16</c:f>
              <c:strCache>
                <c:ptCount val="3"/>
                <c:pt idx="0">
                  <c:v>Referenz</c:v>
                </c:pt>
                <c:pt idx="1">
                  <c:v>Oxyfuel</c:v>
                </c:pt>
                <c:pt idx="2">
                  <c:v>E-LEILAC</c:v>
                </c:pt>
              </c:strCache>
            </c:strRef>
          </c:cat>
          <c:val>
            <c:numRef>
              <c:f>Diagrammtabelle!$D$18:$F$18</c:f>
              <c:numCache>
                <c:formatCode>0</c:formatCode>
                <c:ptCount val="3"/>
                <c:pt idx="0">
                  <c:v>0</c:v>
                </c:pt>
                <c:pt idx="1">
                  <c:v>0</c:v>
                </c:pt>
                <c:pt idx="2">
                  <c:v>0</c:v>
                </c:pt>
              </c:numCache>
            </c:numRef>
          </c:val>
          <c:extLst>
            <c:ext xmlns:c16="http://schemas.microsoft.com/office/drawing/2014/chart" uri="{C3380CC4-5D6E-409C-BE32-E72D297353CC}">
              <c16:uniqueId val="{00000000-87A4-456B-B423-11D4935C5E5D}"/>
            </c:ext>
          </c:extLst>
        </c:ser>
        <c:ser>
          <c:idx val="2"/>
          <c:order val="5"/>
          <c:tx>
            <c:strRef>
              <c:f>Diagrammtabelle!$C$19</c:f>
              <c:strCache>
                <c:ptCount val="1"/>
                <c:pt idx="0">
                  <c:v>CO2-Transport</c:v>
                </c:pt>
              </c:strCache>
            </c:strRef>
          </c:tx>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6-293F-AD40-8DC3-11F4F5E0D39F}"/>
                </c:ext>
              </c:extLst>
            </c:dLbl>
            <c:spPr>
              <a:noFill/>
              <a:ln>
                <a:noFill/>
              </a:ln>
              <a:effectLst/>
            </c:spPr>
            <c:txPr>
              <a:bodyPr/>
              <a:lstStyle/>
              <a:p>
                <a:pPr>
                  <a:defRPr sz="1000">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Diagrammtabelle!$D$16:$F$16</c:f>
              <c:strCache>
                <c:ptCount val="3"/>
                <c:pt idx="0">
                  <c:v>Referenz</c:v>
                </c:pt>
                <c:pt idx="1">
                  <c:v>Oxyfuel</c:v>
                </c:pt>
                <c:pt idx="2">
                  <c:v>E-LEILAC</c:v>
                </c:pt>
              </c:strCache>
            </c:strRef>
          </c:cat>
          <c:val>
            <c:numRef>
              <c:f>Diagrammtabelle!$D$19:$F$19</c:f>
              <c:numCache>
                <c:formatCode>0</c:formatCode>
                <c:ptCount val="3"/>
                <c:pt idx="0">
                  <c:v>0</c:v>
                </c:pt>
                <c:pt idx="1">
                  <c:v>26.796415140000008</c:v>
                </c:pt>
                <c:pt idx="2">
                  <c:v>16.95636</c:v>
                </c:pt>
              </c:numCache>
            </c:numRef>
          </c:val>
          <c:extLst>
            <c:ext xmlns:c16="http://schemas.microsoft.com/office/drawing/2014/chart" uri="{C3380CC4-5D6E-409C-BE32-E72D297353CC}">
              <c16:uniqueId val="{00000003-87A4-456B-B423-11D4935C5E5D}"/>
            </c:ext>
          </c:extLst>
        </c:ser>
        <c:dLbls>
          <c:showLegendKey val="0"/>
          <c:showVal val="0"/>
          <c:showCatName val="0"/>
          <c:showSerName val="0"/>
          <c:showPercent val="0"/>
          <c:showBubbleSize val="0"/>
        </c:dLbls>
        <c:gapWidth val="100"/>
        <c:overlap val="100"/>
        <c:axId val="-2056889224"/>
        <c:axId val="-2056885448"/>
      </c:barChart>
      <c:catAx>
        <c:axId val="-2056889224"/>
        <c:scaling>
          <c:orientation val="minMax"/>
        </c:scaling>
        <c:delete val="0"/>
        <c:axPos val="b"/>
        <c:majorGridlines>
          <c:spPr>
            <a:ln w="9525" cap="flat" cmpd="sng" algn="ctr">
              <a:solidFill>
                <a:schemeClr val="bg1"/>
              </a:solidFill>
              <a:round/>
            </a:ln>
            <a:effectLst/>
          </c:spPr>
        </c:majorGridlines>
        <c:numFmt formatCode="General" sourceLinked="1"/>
        <c:majorTickMark val="none"/>
        <c:minorTickMark val="none"/>
        <c:tickLblPos val="nextTo"/>
        <c:spPr>
          <a:noFill/>
          <a:ln w="19050" cap="flat" cmpd="sng" algn="ctr">
            <a:solidFill>
              <a:schemeClr val="bg2"/>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2056885448"/>
        <c:crosses val="autoZero"/>
        <c:auto val="1"/>
        <c:lblAlgn val="ctr"/>
        <c:lblOffset val="100"/>
        <c:noMultiLvlLbl val="0"/>
      </c:catAx>
      <c:valAx>
        <c:axId val="-2056885448"/>
        <c:scaling>
          <c:orientation val="minMax"/>
        </c:scaling>
        <c:delete val="0"/>
        <c:axPos val="l"/>
        <c:majorGridlines>
          <c:spPr>
            <a:ln w="6350" cap="flat" cmpd="sng" algn="ctr">
              <a:solidFill>
                <a:schemeClr val="bg1"/>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de-DE" sz="1000" b="1">
                    <a:solidFill>
                      <a:schemeClr val="tx1"/>
                    </a:solidFill>
                    <a:latin typeface="Arial" panose="020B0604020202020204" pitchFamily="34" charset="0"/>
                    <a:cs typeface="Arial" panose="020B0604020202020204" pitchFamily="34" charset="0"/>
                  </a:rPr>
                  <a:t>€/t Klinker</a:t>
                </a:r>
              </a:p>
            </c:rich>
          </c:tx>
          <c:layout>
            <c:manualLayout>
              <c:xMode val="edge"/>
              <c:yMode val="edge"/>
              <c:x val="2.4230167394942999E-2"/>
              <c:y val="0.29269540316431297"/>
            </c:manualLayout>
          </c:layout>
          <c:overlay val="0"/>
          <c:spPr>
            <a:noFill/>
            <a:ln>
              <a:noFill/>
            </a:ln>
            <a:effectLst/>
          </c:spPr>
        </c:title>
        <c:numFmt formatCode="0" sourceLinked="1"/>
        <c:majorTickMark val="none"/>
        <c:minorTickMark val="none"/>
        <c:tickLblPos val="nextTo"/>
        <c:spPr>
          <a:noFill/>
          <a:ln w="19050">
            <a:solidFill>
              <a:schemeClr val="bg2"/>
            </a:solidFill>
          </a:ln>
          <a:effectLst/>
        </c:spPr>
        <c:txPr>
          <a:bodyPr rot="-60000000" spcFirstLastPara="1" vertOverflow="ellipsis" vert="horz" wrap="square" anchor="ctr" anchorCtr="1"/>
          <a:lstStyle/>
          <a:p>
            <a:pPr>
              <a:defRPr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2056889224"/>
        <c:crosses val="autoZero"/>
        <c:crossBetween val="between"/>
      </c:valAx>
      <c:spPr>
        <a:noFill/>
        <a:ln>
          <a:noFill/>
        </a:ln>
        <a:effectLst/>
      </c:spPr>
    </c:plotArea>
    <c:legend>
      <c:legendPos val="b"/>
      <c:layout>
        <c:manualLayout>
          <c:xMode val="edge"/>
          <c:yMode val="edge"/>
          <c:x val="2.4767905129066198E-2"/>
          <c:y val="0.86374928533384998"/>
          <c:w val="0.97502228613528397"/>
          <c:h val="0.11738278546595"/>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rgbClr val="E3E4EA"/>
    </a:solidFill>
    <a:ln w="9525" cap="flat" cmpd="sng" algn="ctr">
      <a:noFill/>
      <a:round/>
    </a:ln>
    <a:effectLst/>
  </c:spPr>
  <c:txPr>
    <a:bodyPr/>
    <a:lstStyle/>
    <a:p>
      <a:pPr>
        <a:defRPr/>
      </a:pPr>
      <a:endParaRPr lang="en-US"/>
    </a:p>
  </c:txPr>
  <c:printSettings>
    <c:headerFooter/>
    <c:pageMargins b="0.78740157499999996" l="0.7" r="0.7" t="0.78740157499999996"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4189224459359"/>
          <c:y val="5.5952264067879294E-2"/>
          <c:w val="0.82810906040268495"/>
          <c:h val="0.73812255136395166"/>
        </c:manualLayout>
      </c:layout>
      <c:barChart>
        <c:barDir val="col"/>
        <c:grouping val="stacked"/>
        <c:varyColors val="0"/>
        <c:ser>
          <c:idx val="9"/>
          <c:order val="0"/>
          <c:tx>
            <c:strRef>
              <c:f>Diagrammtabelle!$C$23</c:f>
              <c:strCache>
                <c:ptCount val="1"/>
                <c:pt idx="0">
                  <c:v>allg. Betriebskosten</c:v>
                </c:pt>
              </c:strCache>
            </c:strRef>
          </c:tx>
          <c:invertIfNegative val="0"/>
          <c:dLbls>
            <c:spPr>
              <a:noFill/>
              <a:ln>
                <a:noFill/>
              </a:ln>
              <a:effectLst/>
            </c:spPr>
            <c:txPr>
              <a:bodyPr/>
              <a:lstStyle/>
              <a:p>
                <a:pPr>
                  <a:defRPr sz="1050">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Diagrammtabelle!$H$16:$I$16</c:f>
              <c:strCache>
                <c:ptCount val="2"/>
                <c:pt idx="0">
                  <c:v>Oxyfuel</c:v>
                </c:pt>
                <c:pt idx="1">
                  <c:v>E-LEILAC</c:v>
                </c:pt>
              </c:strCache>
            </c:strRef>
          </c:cat>
          <c:val>
            <c:numRef>
              <c:f>Diagrammtabelle!$H$23:$I$23</c:f>
              <c:numCache>
                <c:formatCode>0</c:formatCode>
                <c:ptCount val="2"/>
                <c:pt idx="0">
                  <c:v>6.8169697550487021</c:v>
                </c:pt>
                <c:pt idx="1">
                  <c:v>3.2760662394385078</c:v>
                </c:pt>
              </c:numCache>
            </c:numRef>
          </c:val>
          <c:extLst>
            <c:ext xmlns:c16="http://schemas.microsoft.com/office/drawing/2014/chart" uri="{C3380CC4-5D6E-409C-BE32-E72D297353CC}">
              <c16:uniqueId val="{0000000D-87A4-456B-B423-11D4935C5E5D}"/>
            </c:ext>
          </c:extLst>
        </c:ser>
        <c:ser>
          <c:idx val="4"/>
          <c:order val="1"/>
          <c:tx>
            <c:strRef>
              <c:f>Diagrammtabelle!$C$21</c:f>
              <c:strCache>
                <c:ptCount val="1"/>
                <c:pt idx="0">
                  <c:v>Brennstoffe</c:v>
                </c:pt>
              </c:strCache>
            </c:strRef>
          </c:tx>
          <c:spPr>
            <a:solidFill>
              <a:schemeClr val="accent5"/>
            </a:solidFill>
          </c:spPr>
          <c:invertIfNegative val="0"/>
          <c:dPt>
            <c:idx val="1"/>
            <c:invertIfNegative val="0"/>
            <c:bubble3D val="0"/>
            <c:extLst>
              <c:ext xmlns:c16="http://schemas.microsoft.com/office/drawing/2014/chart" uri="{C3380CC4-5D6E-409C-BE32-E72D297353CC}">
                <c16:uniqueId val="{00000009-87A4-456B-B423-11D4935C5E5D}"/>
              </c:ext>
            </c:extLst>
          </c:dPt>
          <c:dPt>
            <c:idx val="2"/>
            <c:invertIfNegative val="0"/>
            <c:bubble3D val="0"/>
            <c:extLst>
              <c:ext xmlns:c16="http://schemas.microsoft.com/office/drawing/2014/chart" uri="{C3380CC4-5D6E-409C-BE32-E72D297353CC}">
                <c16:uniqueId val="{00000003-293F-AD40-8DC3-11F4F5E0D39F}"/>
              </c:ext>
            </c:extLst>
          </c:dPt>
          <c:dLbls>
            <c:dLbl>
              <c:idx val="0"/>
              <c:delete val="1"/>
              <c:extLst>
                <c:ext xmlns:c15="http://schemas.microsoft.com/office/drawing/2012/chart" uri="{CE6537A1-D6FC-4f65-9D91-7224C49458BB}"/>
                <c:ext xmlns:c16="http://schemas.microsoft.com/office/drawing/2014/chart" uri="{C3380CC4-5D6E-409C-BE32-E72D297353CC}">
                  <c16:uniqueId val="{00000002-3417-4EFC-9EC5-C65083FF6018}"/>
                </c:ext>
              </c:extLst>
            </c:dLbl>
            <c:spPr>
              <a:noFill/>
              <a:ln>
                <a:noFill/>
              </a:ln>
              <a:effectLst/>
            </c:spPr>
            <c:txPr>
              <a:bodyPr/>
              <a:lstStyle/>
              <a:p>
                <a:pPr>
                  <a:defRPr sz="1000">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Diagrammtabelle!$H$16:$I$16</c:f>
              <c:strCache>
                <c:ptCount val="2"/>
                <c:pt idx="0">
                  <c:v>Oxyfuel</c:v>
                </c:pt>
                <c:pt idx="1">
                  <c:v>E-LEILAC</c:v>
                </c:pt>
              </c:strCache>
            </c:strRef>
          </c:cat>
          <c:val>
            <c:numRef>
              <c:f>Diagrammtabelle!$H$21:$I$21</c:f>
              <c:numCache>
                <c:formatCode>0</c:formatCode>
                <c:ptCount val="2"/>
                <c:pt idx="0">
                  <c:v>0</c:v>
                </c:pt>
                <c:pt idx="1">
                  <c:v>-3.369669740289885</c:v>
                </c:pt>
              </c:numCache>
            </c:numRef>
          </c:val>
          <c:extLst>
            <c:ext xmlns:c16="http://schemas.microsoft.com/office/drawing/2014/chart" uri="{C3380CC4-5D6E-409C-BE32-E72D297353CC}">
              <c16:uniqueId val="{0000000A-87A4-456B-B423-11D4935C5E5D}"/>
            </c:ext>
          </c:extLst>
        </c:ser>
        <c:ser>
          <c:idx val="5"/>
          <c:order val="2"/>
          <c:tx>
            <c:strRef>
              <c:f>Diagrammtabelle!$C$22</c:f>
              <c:strCache>
                <c:ptCount val="1"/>
                <c:pt idx="0">
                  <c:v>Strom</c:v>
                </c:pt>
              </c:strCache>
            </c:strRef>
          </c:tx>
          <c:invertIfNegative val="0"/>
          <c:dLbls>
            <c:spPr>
              <a:noFill/>
              <a:ln>
                <a:noFill/>
              </a:ln>
              <a:effectLst/>
            </c:spPr>
            <c:txPr>
              <a:bodyPr/>
              <a:lstStyle/>
              <a:p>
                <a:pPr>
                  <a:defRPr sz="1000">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Diagrammtabelle!$H$16:$I$16</c:f>
              <c:strCache>
                <c:ptCount val="2"/>
                <c:pt idx="0">
                  <c:v>Oxyfuel</c:v>
                </c:pt>
                <c:pt idx="1">
                  <c:v>E-LEILAC</c:v>
                </c:pt>
              </c:strCache>
            </c:strRef>
          </c:cat>
          <c:val>
            <c:numRef>
              <c:f>Diagrammtabelle!$H$22:$I$22</c:f>
              <c:numCache>
                <c:formatCode>0</c:formatCode>
                <c:ptCount val="2"/>
                <c:pt idx="0">
                  <c:v>13.082132337867575</c:v>
                </c:pt>
                <c:pt idx="1">
                  <c:v>69.886503711846444</c:v>
                </c:pt>
              </c:numCache>
            </c:numRef>
          </c:val>
          <c:extLst>
            <c:ext xmlns:c16="http://schemas.microsoft.com/office/drawing/2014/chart" uri="{C3380CC4-5D6E-409C-BE32-E72D297353CC}">
              <c16:uniqueId val="{0000000C-87A4-456B-B423-11D4935C5E5D}"/>
            </c:ext>
          </c:extLst>
        </c:ser>
        <c:ser>
          <c:idx val="1"/>
          <c:order val="3"/>
          <c:tx>
            <c:strRef>
              <c:f>Diagrammtabelle!$C$18</c:f>
              <c:strCache>
                <c:ptCount val="1"/>
                <c:pt idx="0">
                  <c:v>Sauerstoff</c:v>
                </c:pt>
              </c:strCache>
            </c:strRef>
          </c:tx>
          <c:invertIfNegative val="0"/>
          <c:dLbls>
            <c:dLbl>
              <c:idx val="1"/>
              <c:delete val="1"/>
              <c:extLst>
                <c:ext xmlns:c15="http://schemas.microsoft.com/office/drawing/2012/chart" uri="{CE6537A1-D6FC-4f65-9D91-7224C49458BB}"/>
                <c:ext xmlns:c16="http://schemas.microsoft.com/office/drawing/2014/chart" uri="{C3380CC4-5D6E-409C-BE32-E72D297353CC}">
                  <c16:uniqueId val="{00000003-3417-4EFC-9EC5-C65083FF6018}"/>
                </c:ext>
              </c:extLst>
            </c:dLbl>
            <c:spPr>
              <a:noFill/>
              <a:ln>
                <a:noFill/>
              </a:ln>
              <a:effectLst/>
            </c:spPr>
            <c:txPr>
              <a:bodyPr/>
              <a:lstStyle/>
              <a:p>
                <a:pPr>
                  <a:defRPr sz="1000">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Diagrammtabelle!$H$16:$I$16</c:f>
              <c:strCache>
                <c:ptCount val="2"/>
                <c:pt idx="0">
                  <c:v>Oxyfuel</c:v>
                </c:pt>
                <c:pt idx="1">
                  <c:v>E-LEILAC</c:v>
                </c:pt>
              </c:strCache>
            </c:strRef>
          </c:cat>
          <c:val>
            <c:numRef>
              <c:f>Diagrammtabelle!$H$18:$I$18</c:f>
              <c:numCache>
                <c:formatCode>0</c:formatCode>
                <c:ptCount val="2"/>
                <c:pt idx="0">
                  <c:v>0</c:v>
                </c:pt>
                <c:pt idx="1">
                  <c:v>0</c:v>
                </c:pt>
              </c:numCache>
            </c:numRef>
          </c:val>
          <c:extLst>
            <c:ext xmlns:c16="http://schemas.microsoft.com/office/drawing/2014/chart" uri="{C3380CC4-5D6E-409C-BE32-E72D297353CC}">
              <c16:uniqueId val="{00000000-87A4-456B-B423-11D4935C5E5D}"/>
            </c:ext>
          </c:extLst>
        </c:ser>
        <c:ser>
          <c:idx val="2"/>
          <c:order val="4"/>
          <c:tx>
            <c:strRef>
              <c:f>Diagrammtabelle!$C$19</c:f>
              <c:strCache>
                <c:ptCount val="1"/>
                <c:pt idx="0">
                  <c:v>CO2-Transport</c:v>
                </c:pt>
              </c:strCache>
            </c:strRef>
          </c:tx>
          <c:invertIfNegative val="0"/>
          <c:dLbls>
            <c:spPr>
              <a:noFill/>
              <a:ln>
                <a:noFill/>
              </a:ln>
              <a:effectLst/>
            </c:spPr>
            <c:txPr>
              <a:bodyPr/>
              <a:lstStyle/>
              <a:p>
                <a:pPr>
                  <a:defRPr sz="1000">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Diagrammtabelle!$H$16:$I$16</c:f>
              <c:strCache>
                <c:ptCount val="2"/>
                <c:pt idx="0">
                  <c:v>Oxyfuel</c:v>
                </c:pt>
                <c:pt idx="1">
                  <c:v>E-LEILAC</c:v>
                </c:pt>
              </c:strCache>
            </c:strRef>
          </c:cat>
          <c:val>
            <c:numRef>
              <c:f>Diagrammtabelle!$H$19:$I$19</c:f>
              <c:numCache>
                <c:formatCode>0</c:formatCode>
                <c:ptCount val="2"/>
                <c:pt idx="0">
                  <c:v>38.909840778798113</c:v>
                </c:pt>
                <c:pt idx="1">
                  <c:v>27.77507926988277</c:v>
                </c:pt>
              </c:numCache>
            </c:numRef>
          </c:val>
          <c:extLst>
            <c:ext xmlns:c16="http://schemas.microsoft.com/office/drawing/2014/chart" uri="{C3380CC4-5D6E-409C-BE32-E72D297353CC}">
              <c16:uniqueId val="{00000003-87A4-456B-B423-11D4935C5E5D}"/>
            </c:ext>
          </c:extLst>
        </c:ser>
        <c:dLbls>
          <c:showLegendKey val="0"/>
          <c:showVal val="0"/>
          <c:showCatName val="0"/>
          <c:showSerName val="0"/>
          <c:showPercent val="0"/>
          <c:showBubbleSize val="0"/>
        </c:dLbls>
        <c:gapWidth val="100"/>
        <c:overlap val="100"/>
        <c:axId val="-2056787032"/>
        <c:axId val="-2056783320"/>
      </c:barChart>
      <c:catAx>
        <c:axId val="-2056787032"/>
        <c:scaling>
          <c:orientation val="minMax"/>
        </c:scaling>
        <c:delete val="0"/>
        <c:axPos val="b"/>
        <c:majorGridlines>
          <c:spPr>
            <a:ln w="9525" cap="flat" cmpd="sng" algn="ctr">
              <a:solidFill>
                <a:schemeClr val="bg1"/>
              </a:solidFill>
              <a:round/>
            </a:ln>
            <a:effectLst/>
          </c:spPr>
        </c:majorGridlines>
        <c:numFmt formatCode="General" sourceLinked="1"/>
        <c:majorTickMark val="none"/>
        <c:minorTickMark val="none"/>
        <c:tickLblPos val="low"/>
        <c:spPr>
          <a:noFill/>
          <a:ln w="19050" cap="flat" cmpd="sng" algn="ctr">
            <a:solidFill>
              <a:schemeClr val="bg2"/>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2056783320"/>
        <c:crosses val="autoZero"/>
        <c:auto val="1"/>
        <c:lblAlgn val="ctr"/>
        <c:lblOffset val="100"/>
        <c:noMultiLvlLbl val="0"/>
      </c:catAx>
      <c:valAx>
        <c:axId val="-2056783320"/>
        <c:scaling>
          <c:orientation val="minMax"/>
        </c:scaling>
        <c:delete val="0"/>
        <c:axPos val="l"/>
        <c:majorGridlines>
          <c:spPr>
            <a:ln w="6350" cap="flat" cmpd="sng" algn="ctr">
              <a:solidFill>
                <a:schemeClr val="bg1"/>
              </a:solidFill>
              <a:round/>
            </a:ln>
            <a:effectLst/>
          </c:spPr>
        </c:majorGridlines>
        <c:title>
          <c:tx>
            <c:rich>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r>
                  <a:rPr lang="de-DE" sz="1000" b="1" i="0" baseline="0">
                    <a:solidFill>
                      <a:sysClr val="windowText" lastClr="000000"/>
                    </a:solidFill>
                    <a:effectLst/>
                  </a:rPr>
                  <a:t>Kostendifferenz </a:t>
                </a:r>
                <a:endParaRPr lang="de-DE" sz="1000">
                  <a:solidFill>
                    <a:sysClr val="windowText" lastClr="000000"/>
                  </a:solidFill>
                  <a:effectLst/>
                </a:endParaRPr>
              </a:p>
              <a:p>
                <a:pPr>
                  <a:defRPr sz="1000" b="0" i="0" u="none" strike="noStrike" kern="1200" baseline="0">
                    <a:solidFill>
                      <a:sysClr val="windowText" lastClr="000000"/>
                    </a:solidFill>
                    <a:latin typeface="+mn-lt"/>
                    <a:ea typeface="+mn-ea"/>
                    <a:cs typeface="+mn-cs"/>
                  </a:defRPr>
                </a:pPr>
                <a:r>
                  <a:rPr lang="de-DE" sz="1000" b="1" i="0" baseline="0">
                    <a:solidFill>
                      <a:sysClr val="windowText" lastClr="000000"/>
                    </a:solidFill>
                    <a:effectLst/>
                  </a:rPr>
                  <a:t>€/tCO</a:t>
                </a:r>
                <a:r>
                  <a:rPr lang="de-DE" sz="1000" b="1" i="0" baseline="-25000">
                    <a:solidFill>
                      <a:sysClr val="windowText" lastClr="000000"/>
                    </a:solidFill>
                    <a:effectLst/>
                  </a:rPr>
                  <a:t>2</a:t>
                </a:r>
                <a:r>
                  <a:rPr lang="de-DE" sz="1000" b="1" i="0" baseline="0">
                    <a:solidFill>
                      <a:sysClr val="windowText" lastClr="000000"/>
                    </a:solidFill>
                    <a:effectLst/>
                  </a:rPr>
                  <a:t>-Vermeidung</a:t>
                </a:r>
                <a:endParaRPr lang="de-DE" sz="1000">
                  <a:solidFill>
                    <a:sysClr val="windowText" lastClr="000000"/>
                  </a:solidFill>
                  <a:effectLst/>
                </a:endParaRPr>
              </a:p>
            </c:rich>
          </c:tx>
          <c:layout>
            <c:manualLayout>
              <c:xMode val="edge"/>
              <c:yMode val="edge"/>
              <c:x val="1.10932562084289E-2"/>
              <c:y val="0.29572651612610701"/>
            </c:manualLayout>
          </c:layout>
          <c:overlay val="0"/>
          <c:spPr>
            <a:noFill/>
            <a:ln>
              <a:noFill/>
            </a:ln>
            <a:effectLst/>
          </c:spPr>
        </c:title>
        <c:numFmt formatCode="0" sourceLinked="1"/>
        <c:majorTickMark val="none"/>
        <c:minorTickMark val="none"/>
        <c:tickLblPos val="nextTo"/>
        <c:spPr>
          <a:noFill/>
          <a:ln w="19050">
            <a:solidFill>
              <a:schemeClr val="bg2"/>
            </a:solidFill>
          </a:ln>
          <a:effectLst/>
        </c:spPr>
        <c:txPr>
          <a:bodyPr rot="-60000000" spcFirstLastPara="1" vertOverflow="ellipsis" vert="horz" wrap="square" anchor="ctr" anchorCtr="1"/>
          <a:lstStyle/>
          <a:p>
            <a:pPr>
              <a:defRPr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2056787032"/>
        <c:crosses val="autoZero"/>
        <c:crossBetween val="between"/>
      </c:valAx>
      <c:spPr>
        <a:noFill/>
        <a:ln>
          <a:noFill/>
        </a:ln>
        <a:effectLst/>
      </c:spPr>
    </c:plotArea>
    <c:legend>
      <c:legendPos val="b"/>
      <c:layout>
        <c:manualLayout>
          <c:xMode val="edge"/>
          <c:yMode val="edge"/>
          <c:x val="2.4767905129066198E-2"/>
          <c:y val="0.86374928533384998"/>
          <c:w val="0.97502228613528397"/>
          <c:h val="0.11738278546595"/>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rgbClr val="E3E4EA"/>
    </a:solidFill>
    <a:ln w="9525" cap="flat" cmpd="sng" algn="ctr">
      <a:noFill/>
      <a:round/>
    </a:ln>
    <a:effectLst/>
  </c:spPr>
  <c:txPr>
    <a:bodyPr/>
    <a:lstStyle/>
    <a:p>
      <a:pPr>
        <a:defRPr/>
      </a:pPr>
      <a:endParaRPr lang="en-US"/>
    </a:p>
  </c:txPr>
  <c:printSettings>
    <c:headerFooter/>
    <c:pageMargins b="0.78740157499999996" l="0.7" r="0.7" t="0.78740157499999996"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OPEX und CAPEX (separat)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0"/>
          <c:order val="0"/>
          <c:tx>
            <c:strRef>
              <c:f>'Markthochlauf Oxyfuel'!$A$29</c:f>
              <c:strCache>
                <c:ptCount val="1"/>
                <c:pt idx="0">
                  <c:v>KSV 1</c:v>
                </c:pt>
              </c:strCache>
            </c:strRef>
          </c:tx>
          <c:spPr>
            <a:solidFill>
              <a:schemeClr val="accent1"/>
            </a:solidFill>
            <a:ln>
              <a:noFill/>
            </a:ln>
            <a:effectLst/>
          </c:spPr>
          <c:invertIfNegative val="0"/>
          <c:cat>
            <c:numLit>
              <c:formatCode>General</c:formatCode>
              <c:ptCount val="20"/>
              <c:pt idx="0">
                <c:v>2021</c:v>
              </c:pt>
              <c:pt idx="1">
                <c:v>2022</c:v>
              </c:pt>
              <c:pt idx="2">
                <c:v>2023</c:v>
              </c:pt>
              <c:pt idx="3">
                <c:v>2024</c:v>
              </c:pt>
              <c:pt idx="4">
                <c:v>2025</c:v>
              </c:pt>
              <c:pt idx="5">
                <c:v>2026</c:v>
              </c:pt>
              <c:pt idx="6">
                <c:v>2027</c:v>
              </c:pt>
              <c:pt idx="7">
                <c:v>2028</c:v>
              </c:pt>
              <c:pt idx="8">
                <c:v>2029</c:v>
              </c:pt>
              <c:pt idx="9">
                <c:v>2030</c:v>
              </c:pt>
              <c:pt idx="10">
                <c:v>2031</c:v>
              </c:pt>
              <c:pt idx="11">
                <c:v>2032</c:v>
              </c:pt>
              <c:pt idx="12">
                <c:v>2033</c:v>
              </c:pt>
              <c:pt idx="13">
                <c:v>2034</c:v>
              </c:pt>
              <c:pt idx="14">
                <c:v>2035</c:v>
              </c:pt>
              <c:pt idx="15">
                <c:v>2036</c:v>
              </c:pt>
              <c:pt idx="16">
                <c:v>2037</c:v>
              </c:pt>
              <c:pt idx="17">
                <c:v>2038</c:v>
              </c:pt>
              <c:pt idx="18">
                <c:v>2039</c:v>
              </c:pt>
              <c:pt idx="19">
                <c:v>2040</c:v>
              </c:pt>
            </c:numLit>
          </c:cat>
          <c:val>
            <c:numRef>
              <c:f>'Markthochlauf Oxyfuel'!$D$29:$W$29</c:f>
              <c:numCache>
                <c:formatCode>General</c:formatCode>
                <c:ptCount val="20"/>
                <c:pt idx="0">
                  <c:v>0</c:v>
                </c:pt>
                <c:pt idx="1">
                  <c:v>0</c:v>
                </c:pt>
                <c:pt idx="2">
                  <c:v>0</c:v>
                </c:pt>
                <c:pt idx="3">
                  <c:v>0</c:v>
                </c:pt>
                <c:pt idx="4">
                  <c:v>-4.1763175490174831E-2</c:v>
                </c:pt>
                <c:pt idx="5">
                  <c:v>-0.80837117549017634</c:v>
                </c:pt>
                <c:pt idx="6">
                  <c:v>-1.5749791754901743</c:v>
                </c:pt>
                <c:pt idx="7">
                  <c:v>-2.3415871754901758</c:v>
                </c:pt>
                <c:pt idx="8">
                  <c:v>-3.1081951754901738</c:v>
                </c:pt>
                <c:pt idx="9">
                  <c:v>-3.8748031754901753</c:v>
                </c:pt>
                <c:pt idx="10">
                  <c:v>-4.5647503754901742</c:v>
                </c:pt>
                <c:pt idx="11">
                  <c:v>-5.2546975754901766</c:v>
                </c:pt>
                <c:pt idx="12">
                  <c:v>-5.9446447754901754</c:v>
                </c:pt>
                <c:pt idx="13">
                  <c:v>-6.6345919754901743</c:v>
                </c:pt>
                <c:pt idx="14">
                  <c:v>0</c:v>
                </c:pt>
                <c:pt idx="15">
                  <c:v>0</c:v>
                </c:pt>
                <c:pt idx="16">
                  <c:v>0</c:v>
                </c:pt>
                <c:pt idx="17">
                  <c:v>0</c:v>
                </c:pt>
                <c:pt idx="18">
                  <c:v>0</c:v>
                </c:pt>
                <c:pt idx="19">
                  <c:v>0</c:v>
                </c:pt>
              </c:numCache>
            </c:numRef>
          </c:val>
          <c:extLst>
            <c:ext xmlns:c16="http://schemas.microsoft.com/office/drawing/2014/chart" uri="{C3380CC4-5D6E-409C-BE32-E72D297353CC}">
              <c16:uniqueId val="{00000000-5294-4139-8825-D7B35971A9EB}"/>
            </c:ext>
          </c:extLst>
        </c:ser>
        <c:ser>
          <c:idx val="1"/>
          <c:order val="1"/>
          <c:tx>
            <c:strRef>
              <c:f>'Markthochlauf Oxyfuel'!$A$30</c:f>
              <c:strCache>
                <c:ptCount val="1"/>
                <c:pt idx="0">
                  <c:v>KSV 2</c:v>
                </c:pt>
              </c:strCache>
            </c:strRef>
          </c:tx>
          <c:spPr>
            <a:solidFill>
              <a:schemeClr val="accent2"/>
            </a:solidFill>
            <a:ln>
              <a:noFill/>
            </a:ln>
            <a:effectLst/>
          </c:spPr>
          <c:invertIfNegative val="0"/>
          <c:cat>
            <c:numLit>
              <c:formatCode>General</c:formatCode>
              <c:ptCount val="20"/>
              <c:pt idx="0">
                <c:v>2021</c:v>
              </c:pt>
              <c:pt idx="1">
                <c:v>2022</c:v>
              </c:pt>
              <c:pt idx="2">
                <c:v>2023</c:v>
              </c:pt>
              <c:pt idx="3">
                <c:v>2024</c:v>
              </c:pt>
              <c:pt idx="4">
                <c:v>2025</c:v>
              </c:pt>
              <c:pt idx="5">
                <c:v>2026</c:v>
              </c:pt>
              <c:pt idx="6">
                <c:v>2027</c:v>
              </c:pt>
              <c:pt idx="7">
                <c:v>2028</c:v>
              </c:pt>
              <c:pt idx="8">
                <c:v>2029</c:v>
              </c:pt>
              <c:pt idx="9">
                <c:v>2030</c:v>
              </c:pt>
              <c:pt idx="10">
                <c:v>2031</c:v>
              </c:pt>
              <c:pt idx="11">
                <c:v>2032</c:v>
              </c:pt>
              <c:pt idx="12">
                <c:v>2033</c:v>
              </c:pt>
              <c:pt idx="13">
                <c:v>2034</c:v>
              </c:pt>
              <c:pt idx="14">
                <c:v>2035</c:v>
              </c:pt>
              <c:pt idx="15">
                <c:v>2036</c:v>
              </c:pt>
              <c:pt idx="16">
                <c:v>2037</c:v>
              </c:pt>
              <c:pt idx="17">
                <c:v>2038</c:v>
              </c:pt>
              <c:pt idx="18">
                <c:v>2039</c:v>
              </c:pt>
              <c:pt idx="19">
                <c:v>2040</c:v>
              </c:pt>
            </c:numLit>
          </c:cat>
          <c:val>
            <c:numRef>
              <c:f>'Markthochlauf Oxyfuel'!$D$30:$W$30</c:f>
              <c:numCache>
                <c:formatCode>General</c:formatCode>
                <c:ptCount val="20"/>
                <c:pt idx="0">
                  <c:v>0</c:v>
                </c:pt>
                <c:pt idx="1">
                  <c:v>0</c:v>
                </c:pt>
                <c:pt idx="2">
                  <c:v>0</c:v>
                </c:pt>
                <c:pt idx="3">
                  <c:v>0</c:v>
                </c:pt>
                <c:pt idx="4">
                  <c:v>0</c:v>
                </c:pt>
                <c:pt idx="5">
                  <c:v>-0.80837117549017634</c:v>
                </c:pt>
                <c:pt idx="6">
                  <c:v>-1.5749791754901743</c:v>
                </c:pt>
                <c:pt idx="7">
                  <c:v>-2.3415871754901758</c:v>
                </c:pt>
                <c:pt idx="8">
                  <c:v>-3.1081951754901738</c:v>
                </c:pt>
                <c:pt idx="9">
                  <c:v>-3.8748031754901753</c:v>
                </c:pt>
                <c:pt idx="10">
                  <c:v>-4.5647503754901742</c:v>
                </c:pt>
                <c:pt idx="11">
                  <c:v>-5.2546975754901766</c:v>
                </c:pt>
                <c:pt idx="12">
                  <c:v>-5.9446447754901754</c:v>
                </c:pt>
                <c:pt idx="13">
                  <c:v>-6.6345919754901743</c:v>
                </c:pt>
                <c:pt idx="14">
                  <c:v>-7.3245391754901732</c:v>
                </c:pt>
                <c:pt idx="15">
                  <c:v>0</c:v>
                </c:pt>
                <c:pt idx="16">
                  <c:v>0</c:v>
                </c:pt>
                <c:pt idx="17">
                  <c:v>0</c:v>
                </c:pt>
                <c:pt idx="18">
                  <c:v>0</c:v>
                </c:pt>
                <c:pt idx="19">
                  <c:v>0</c:v>
                </c:pt>
              </c:numCache>
            </c:numRef>
          </c:val>
          <c:extLst>
            <c:ext xmlns:c16="http://schemas.microsoft.com/office/drawing/2014/chart" uri="{C3380CC4-5D6E-409C-BE32-E72D297353CC}">
              <c16:uniqueId val="{00000001-5294-4139-8825-D7B35971A9EB}"/>
            </c:ext>
          </c:extLst>
        </c:ser>
        <c:ser>
          <c:idx val="2"/>
          <c:order val="2"/>
          <c:tx>
            <c:strRef>
              <c:f>'Markthochlauf Oxyfuel'!$A$31</c:f>
              <c:strCache>
                <c:ptCount val="1"/>
                <c:pt idx="0">
                  <c:v>KSV 3</c:v>
                </c:pt>
              </c:strCache>
            </c:strRef>
          </c:tx>
          <c:spPr>
            <a:solidFill>
              <a:schemeClr val="accent3"/>
            </a:solidFill>
            <a:ln>
              <a:noFill/>
            </a:ln>
            <a:effectLst/>
          </c:spPr>
          <c:invertIfNegative val="0"/>
          <c:cat>
            <c:numLit>
              <c:formatCode>General</c:formatCode>
              <c:ptCount val="20"/>
              <c:pt idx="0">
                <c:v>2021</c:v>
              </c:pt>
              <c:pt idx="1">
                <c:v>2022</c:v>
              </c:pt>
              <c:pt idx="2">
                <c:v>2023</c:v>
              </c:pt>
              <c:pt idx="3">
                <c:v>2024</c:v>
              </c:pt>
              <c:pt idx="4">
                <c:v>2025</c:v>
              </c:pt>
              <c:pt idx="5">
                <c:v>2026</c:v>
              </c:pt>
              <c:pt idx="6">
                <c:v>2027</c:v>
              </c:pt>
              <c:pt idx="7">
                <c:v>2028</c:v>
              </c:pt>
              <c:pt idx="8">
                <c:v>2029</c:v>
              </c:pt>
              <c:pt idx="9">
                <c:v>2030</c:v>
              </c:pt>
              <c:pt idx="10">
                <c:v>2031</c:v>
              </c:pt>
              <c:pt idx="11">
                <c:v>2032</c:v>
              </c:pt>
              <c:pt idx="12">
                <c:v>2033</c:v>
              </c:pt>
              <c:pt idx="13">
                <c:v>2034</c:v>
              </c:pt>
              <c:pt idx="14">
                <c:v>2035</c:v>
              </c:pt>
              <c:pt idx="15">
                <c:v>2036</c:v>
              </c:pt>
              <c:pt idx="16">
                <c:v>2037</c:v>
              </c:pt>
              <c:pt idx="17">
                <c:v>2038</c:v>
              </c:pt>
              <c:pt idx="18">
                <c:v>2039</c:v>
              </c:pt>
              <c:pt idx="19">
                <c:v>2040</c:v>
              </c:pt>
            </c:numLit>
          </c:cat>
          <c:val>
            <c:numRef>
              <c:f>'Markthochlauf Oxyfuel'!$D$31:$W$31</c:f>
              <c:numCache>
                <c:formatCode>General</c:formatCode>
                <c:ptCount val="20"/>
                <c:pt idx="0">
                  <c:v>0</c:v>
                </c:pt>
                <c:pt idx="1">
                  <c:v>0</c:v>
                </c:pt>
                <c:pt idx="2">
                  <c:v>0</c:v>
                </c:pt>
                <c:pt idx="3">
                  <c:v>0</c:v>
                </c:pt>
                <c:pt idx="4">
                  <c:v>0</c:v>
                </c:pt>
                <c:pt idx="5">
                  <c:v>0</c:v>
                </c:pt>
                <c:pt idx="6">
                  <c:v>-1.5749791754901743</c:v>
                </c:pt>
                <c:pt idx="7">
                  <c:v>-2.3415871754901758</c:v>
                </c:pt>
                <c:pt idx="8">
                  <c:v>-3.1081951754901738</c:v>
                </c:pt>
                <c:pt idx="9">
                  <c:v>-3.8748031754901753</c:v>
                </c:pt>
                <c:pt idx="10">
                  <c:v>-4.5647503754901742</c:v>
                </c:pt>
                <c:pt idx="11">
                  <c:v>-5.2546975754901766</c:v>
                </c:pt>
                <c:pt idx="12">
                  <c:v>-5.9446447754901754</c:v>
                </c:pt>
                <c:pt idx="13">
                  <c:v>-6.6345919754901743</c:v>
                </c:pt>
                <c:pt idx="14">
                  <c:v>-7.3245391754901732</c:v>
                </c:pt>
                <c:pt idx="15">
                  <c:v>-8.0144863754901756</c:v>
                </c:pt>
                <c:pt idx="16">
                  <c:v>0</c:v>
                </c:pt>
                <c:pt idx="17">
                  <c:v>0</c:v>
                </c:pt>
                <c:pt idx="18">
                  <c:v>0</c:v>
                </c:pt>
                <c:pt idx="19">
                  <c:v>0</c:v>
                </c:pt>
              </c:numCache>
            </c:numRef>
          </c:val>
          <c:extLst>
            <c:ext xmlns:c16="http://schemas.microsoft.com/office/drawing/2014/chart" uri="{C3380CC4-5D6E-409C-BE32-E72D297353CC}">
              <c16:uniqueId val="{00000002-5294-4139-8825-D7B35971A9EB}"/>
            </c:ext>
          </c:extLst>
        </c:ser>
        <c:ser>
          <c:idx val="3"/>
          <c:order val="3"/>
          <c:tx>
            <c:strRef>
              <c:f>'Markthochlauf Oxyfuel'!$A$32</c:f>
              <c:strCache>
                <c:ptCount val="1"/>
                <c:pt idx="0">
                  <c:v>KSV 4</c:v>
                </c:pt>
              </c:strCache>
            </c:strRef>
          </c:tx>
          <c:spPr>
            <a:solidFill>
              <a:schemeClr val="accent4"/>
            </a:solidFill>
            <a:ln>
              <a:noFill/>
            </a:ln>
            <a:effectLst/>
          </c:spPr>
          <c:invertIfNegative val="0"/>
          <c:cat>
            <c:numLit>
              <c:formatCode>General</c:formatCode>
              <c:ptCount val="20"/>
              <c:pt idx="0">
                <c:v>2021</c:v>
              </c:pt>
              <c:pt idx="1">
                <c:v>2022</c:v>
              </c:pt>
              <c:pt idx="2">
                <c:v>2023</c:v>
              </c:pt>
              <c:pt idx="3">
                <c:v>2024</c:v>
              </c:pt>
              <c:pt idx="4">
                <c:v>2025</c:v>
              </c:pt>
              <c:pt idx="5">
                <c:v>2026</c:v>
              </c:pt>
              <c:pt idx="6">
                <c:v>2027</c:v>
              </c:pt>
              <c:pt idx="7">
                <c:v>2028</c:v>
              </c:pt>
              <c:pt idx="8">
                <c:v>2029</c:v>
              </c:pt>
              <c:pt idx="9">
                <c:v>2030</c:v>
              </c:pt>
              <c:pt idx="10">
                <c:v>2031</c:v>
              </c:pt>
              <c:pt idx="11">
                <c:v>2032</c:v>
              </c:pt>
              <c:pt idx="12">
                <c:v>2033</c:v>
              </c:pt>
              <c:pt idx="13">
                <c:v>2034</c:v>
              </c:pt>
              <c:pt idx="14">
                <c:v>2035</c:v>
              </c:pt>
              <c:pt idx="15">
                <c:v>2036</c:v>
              </c:pt>
              <c:pt idx="16">
                <c:v>2037</c:v>
              </c:pt>
              <c:pt idx="17">
                <c:v>2038</c:v>
              </c:pt>
              <c:pt idx="18">
                <c:v>2039</c:v>
              </c:pt>
              <c:pt idx="19">
                <c:v>2040</c:v>
              </c:pt>
            </c:numLit>
          </c:cat>
          <c:val>
            <c:numRef>
              <c:f>'Markthochlauf Oxyfuel'!$D$32:$W$32</c:f>
              <c:numCache>
                <c:formatCode>General</c:formatCode>
                <c:ptCount val="20"/>
                <c:pt idx="0">
                  <c:v>0</c:v>
                </c:pt>
                <c:pt idx="1">
                  <c:v>0</c:v>
                </c:pt>
                <c:pt idx="2">
                  <c:v>0</c:v>
                </c:pt>
                <c:pt idx="3">
                  <c:v>0</c:v>
                </c:pt>
                <c:pt idx="4">
                  <c:v>0</c:v>
                </c:pt>
                <c:pt idx="5">
                  <c:v>0</c:v>
                </c:pt>
                <c:pt idx="6">
                  <c:v>0</c:v>
                </c:pt>
                <c:pt idx="7">
                  <c:v>-2.3415871754901758</c:v>
                </c:pt>
                <c:pt idx="8">
                  <c:v>-3.1081951754901738</c:v>
                </c:pt>
                <c:pt idx="9">
                  <c:v>-3.8748031754901753</c:v>
                </c:pt>
                <c:pt idx="10">
                  <c:v>-4.5647503754901742</c:v>
                </c:pt>
                <c:pt idx="11">
                  <c:v>-5.2546975754901766</c:v>
                </c:pt>
                <c:pt idx="12">
                  <c:v>-5.9446447754901754</c:v>
                </c:pt>
                <c:pt idx="13">
                  <c:v>-6.6345919754901743</c:v>
                </c:pt>
                <c:pt idx="14">
                  <c:v>-7.3245391754901732</c:v>
                </c:pt>
                <c:pt idx="15">
                  <c:v>-8.0144863754901756</c:v>
                </c:pt>
                <c:pt idx="16">
                  <c:v>-8.7044335754901745</c:v>
                </c:pt>
                <c:pt idx="17">
                  <c:v>0</c:v>
                </c:pt>
                <c:pt idx="18">
                  <c:v>0</c:v>
                </c:pt>
                <c:pt idx="19">
                  <c:v>0</c:v>
                </c:pt>
              </c:numCache>
            </c:numRef>
          </c:val>
          <c:extLst>
            <c:ext xmlns:c16="http://schemas.microsoft.com/office/drawing/2014/chart" uri="{C3380CC4-5D6E-409C-BE32-E72D297353CC}">
              <c16:uniqueId val="{00000003-5294-4139-8825-D7B35971A9EB}"/>
            </c:ext>
          </c:extLst>
        </c:ser>
        <c:ser>
          <c:idx val="4"/>
          <c:order val="4"/>
          <c:tx>
            <c:strRef>
              <c:f>'Markthochlauf Oxyfuel'!$A$33</c:f>
              <c:strCache>
                <c:ptCount val="1"/>
                <c:pt idx="0">
                  <c:v>KSV 5</c:v>
                </c:pt>
              </c:strCache>
            </c:strRef>
          </c:tx>
          <c:spPr>
            <a:solidFill>
              <a:schemeClr val="accent5"/>
            </a:solidFill>
            <a:ln>
              <a:noFill/>
            </a:ln>
            <a:effectLst/>
          </c:spPr>
          <c:invertIfNegative val="0"/>
          <c:cat>
            <c:numLit>
              <c:formatCode>General</c:formatCode>
              <c:ptCount val="20"/>
              <c:pt idx="0">
                <c:v>2021</c:v>
              </c:pt>
              <c:pt idx="1">
                <c:v>2022</c:v>
              </c:pt>
              <c:pt idx="2">
                <c:v>2023</c:v>
              </c:pt>
              <c:pt idx="3">
                <c:v>2024</c:v>
              </c:pt>
              <c:pt idx="4">
                <c:v>2025</c:v>
              </c:pt>
              <c:pt idx="5">
                <c:v>2026</c:v>
              </c:pt>
              <c:pt idx="6">
                <c:v>2027</c:v>
              </c:pt>
              <c:pt idx="7">
                <c:v>2028</c:v>
              </c:pt>
              <c:pt idx="8">
                <c:v>2029</c:v>
              </c:pt>
              <c:pt idx="9">
                <c:v>2030</c:v>
              </c:pt>
              <c:pt idx="10">
                <c:v>2031</c:v>
              </c:pt>
              <c:pt idx="11">
                <c:v>2032</c:v>
              </c:pt>
              <c:pt idx="12">
                <c:v>2033</c:v>
              </c:pt>
              <c:pt idx="13">
                <c:v>2034</c:v>
              </c:pt>
              <c:pt idx="14">
                <c:v>2035</c:v>
              </c:pt>
              <c:pt idx="15">
                <c:v>2036</c:v>
              </c:pt>
              <c:pt idx="16">
                <c:v>2037</c:v>
              </c:pt>
              <c:pt idx="17">
                <c:v>2038</c:v>
              </c:pt>
              <c:pt idx="18">
                <c:v>2039</c:v>
              </c:pt>
              <c:pt idx="19">
                <c:v>2040</c:v>
              </c:pt>
            </c:numLit>
          </c:cat>
          <c:val>
            <c:numRef>
              <c:f>'Markthochlauf Oxyfuel'!$D$33:$W$33</c:f>
              <c:numCache>
                <c:formatCode>General</c:formatCode>
                <c:ptCount val="20"/>
                <c:pt idx="0">
                  <c:v>0</c:v>
                </c:pt>
                <c:pt idx="1">
                  <c:v>0</c:v>
                </c:pt>
                <c:pt idx="2">
                  <c:v>0</c:v>
                </c:pt>
                <c:pt idx="3">
                  <c:v>0</c:v>
                </c:pt>
                <c:pt idx="4">
                  <c:v>0</c:v>
                </c:pt>
                <c:pt idx="5">
                  <c:v>0</c:v>
                </c:pt>
                <c:pt idx="6">
                  <c:v>0</c:v>
                </c:pt>
                <c:pt idx="7">
                  <c:v>0</c:v>
                </c:pt>
                <c:pt idx="8">
                  <c:v>-3.1081951754901738</c:v>
                </c:pt>
                <c:pt idx="9">
                  <c:v>-3.8748031754901753</c:v>
                </c:pt>
                <c:pt idx="10">
                  <c:v>-4.5647503754901742</c:v>
                </c:pt>
                <c:pt idx="11">
                  <c:v>-5.2546975754901766</c:v>
                </c:pt>
                <c:pt idx="12">
                  <c:v>-5.9446447754901754</c:v>
                </c:pt>
                <c:pt idx="13">
                  <c:v>-6.6345919754901743</c:v>
                </c:pt>
                <c:pt idx="14">
                  <c:v>-7.3245391754901732</c:v>
                </c:pt>
                <c:pt idx="15">
                  <c:v>-8.0144863754901756</c:v>
                </c:pt>
                <c:pt idx="16">
                  <c:v>-8.7044335754901745</c:v>
                </c:pt>
                <c:pt idx="17">
                  <c:v>-9.3943807754901734</c:v>
                </c:pt>
                <c:pt idx="18">
                  <c:v>0</c:v>
                </c:pt>
                <c:pt idx="19">
                  <c:v>0</c:v>
                </c:pt>
              </c:numCache>
            </c:numRef>
          </c:val>
          <c:extLst>
            <c:ext xmlns:c16="http://schemas.microsoft.com/office/drawing/2014/chart" uri="{C3380CC4-5D6E-409C-BE32-E72D297353CC}">
              <c16:uniqueId val="{00000004-5294-4139-8825-D7B35971A9EB}"/>
            </c:ext>
          </c:extLst>
        </c:ser>
        <c:ser>
          <c:idx val="5"/>
          <c:order val="5"/>
          <c:tx>
            <c:strRef>
              <c:f>'Markthochlauf Oxyfuel'!$A$34</c:f>
              <c:strCache>
                <c:ptCount val="1"/>
                <c:pt idx="0">
                  <c:v>KSV 6</c:v>
                </c:pt>
              </c:strCache>
            </c:strRef>
          </c:tx>
          <c:spPr>
            <a:solidFill>
              <a:schemeClr val="accent6"/>
            </a:solidFill>
            <a:ln>
              <a:noFill/>
            </a:ln>
            <a:effectLst/>
          </c:spPr>
          <c:invertIfNegative val="0"/>
          <c:cat>
            <c:numLit>
              <c:formatCode>General</c:formatCode>
              <c:ptCount val="20"/>
              <c:pt idx="0">
                <c:v>2021</c:v>
              </c:pt>
              <c:pt idx="1">
                <c:v>2022</c:v>
              </c:pt>
              <c:pt idx="2">
                <c:v>2023</c:v>
              </c:pt>
              <c:pt idx="3">
                <c:v>2024</c:v>
              </c:pt>
              <c:pt idx="4">
                <c:v>2025</c:v>
              </c:pt>
              <c:pt idx="5">
                <c:v>2026</c:v>
              </c:pt>
              <c:pt idx="6">
                <c:v>2027</c:v>
              </c:pt>
              <c:pt idx="7">
                <c:v>2028</c:v>
              </c:pt>
              <c:pt idx="8">
                <c:v>2029</c:v>
              </c:pt>
              <c:pt idx="9">
                <c:v>2030</c:v>
              </c:pt>
              <c:pt idx="10">
                <c:v>2031</c:v>
              </c:pt>
              <c:pt idx="11">
                <c:v>2032</c:v>
              </c:pt>
              <c:pt idx="12">
                <c:v>2033</c:v>
              </c:pt>
              <c:pt idx="13">
                <c:v>2034</c:v>
              </c:pt>
              <c:pt idx="14">
                <c:v>2035</c:v>
              </c:pt>
              <c:pt idx="15">
                <c:v>2036</c:v>
              </c:pt>
              <c:pt idx="16">
                <c:v>2037</c:v>
              </c:pt>
              <c:pt idx="17">
                <c:v>2038</c:v>
              </c:pt>
              <c:pt idx="18">
                <c:v>2039</c:v>
              </c:pt>
              <c:pt idx="19">
                <c:v>2040</c:v>
              </c:pt>
            </c:numLit>
          </c:cat>
          <c:val>
            <c:numRef>
              <c:f>'Markthochlauf Oxyfuel'!$D$34:$W$34</c:f>
              <c:numCache>
                <c:formatCode>General</c:formatCode>
                <c:ptCount val="20"/>
                <c:pt idx="0">
                  <c:v>0</c:v>
                </c:pt>
                <c:pt idx="1">
                  <c:v>0</c:v>
                </c:pt>
                <c:pt idx="2">
                  <c:v>0</c:v>
                </c:pt>
                <c:pt idx="3">
                  <c:v>0</c:v>
                </c:pt>
                <c:pt idx="4">
                  <c:v>0</c:v>
                </c:pt>
                <c:pt idx="5">
                  <c:v>0</c:v>
                </c:pt>
                <c:pt idx="6">
                  <c:v>0</c:v>
                </c:pt>
                <c:pt idx="7">
                  <c:v>0</c:v>
                </c:pt>
                <c:pt idx="8">
                  <c:v>0</c:v>
                </c:pt>
                <c:pt idx="9">
                  <c:v>-3.8748031754901753</c:v>
                </c:pt>
                <c:pt idx="10">
                  <c:v>-4.5647503754901742</c:v>
                </c:pt>
                <c:pt idx="11">
                  <c:v>-5.2546975754901766</c:v>
                </c:pt>
                <c:pt idx="12">
                  <c:v>-5.9446447754901754</c:v>
                </c:pt>
                <c:pt idx="13">
                  <c:v>-6.6345919754901743</c:v>
                </c:pt>
                <c:pt idx="14">
                  <c:v>-7.3245391754901732</c:v>
                </c:pt>
                <c:pt idx="15">
                  <c:v>-8.0144863754901756</c:v>
                </c:pt>
                <c:pt idx="16">
                  <c:v>-8.7044335754901745</c:v>
                </c:pt>
                <c:pt idx="17">
                  <c:v>-9.3943807754901734</c:v>
                </c:pt>
                <c:pt idx="18">
                  <c:v>-10.084327975490176</c:v>
                </c:pt>
                <c:pt idx="19">
                  <c:v>0</c:v>
                </c:pt>
              </c:numCache>
            </c:numRef>
          </c:val>
          <c:extLst>
            <c:ext xmlns:c16="http://schemas.microsoft.com/office/drawing/2014/chart" uri="{C3380CC4-5D6E-409C-BE32-E72D297353CC}">
              <c16:uniqueId val="{00000005-5294-4139-8825-D7B35971A9EB}"/>
            </c:ext>
          </c:extLst>
        </c:ser>
        <c:ser>
          <c:idx val="6"/>
          <c:order val="6"/>
          <c:tx>
            <c:strRef>
              <c:f>'Markthochlauf Oxyfuel'!$A$7</c:f>
              <c:strCache>
                <c:ptCount val="1"/>
                <c:pt idx="0">
                  <c:v>KSV 1 CAPEX</c:v>
                </c:pt>
              </c:strCache>
            </c:strRef>
          </c:tx>
          <c:spPr>
            <a:pattFill prst="pct75">
              <a:fgClr>
                <a:schemeClr val="accent1"/>
              </a:fgClr>
              <a:bgClr>
                <a:schemeClr val="bg1"/>
              </a:bgClr>
            </a:pattFill>
            <a:ln>
              <a:noFill/>
            </a:ln>
            <a:effectLst/>
          </c:spPr>
          <c:invertIfNegative val="0"/>
          <c:dPt>
            <c:idx val="2"/>
            <c:invertIfNegative val="0"/>
            <c:bubble3D val="0"/>
            <c:extLst>
              <c:ext xmlns:c16="http://schemas.microsoft.com/office/drawing/2014/chart" uri="{C3380CC4-5D6E-409C-BE32-E72D297353CC}">
                <c16:uniqueId val="{00000006-5294-4139-8825-D7B35971A9EB}"/>
              </c:ext>
            </c:extLst>
          </c:dPt>
          <c:val>
            <c:numRef>
              <c:f>'Markthochlauf Oxyfuel'!$D$7:$W$7</c:f>
              <c:numCache>
                <c:formatCode>General</c:formatCode>
                <c:ptCount val="20"/>
                <c:pt idx="0">
                  <c:v>0</c:v>
                </c:pt>
                <c:pt idx="1">
                  <c:v>0</c:v>
                </c:pt>
                <c:pt idx="2">
                  <c:v>0</c:v>
                </c:pt>
                <c:pt idx="3">
                  <c:v>0</c:v>
                </c:pt>
                <c:pt idx="4">
                  <c:v>5.6944999999999997</c:v>
                </c:pt>
                <c:pt idx="5">
                  <c:v>5.6944999999999997</c:v>
                </c:pt>
                <c:pt idx="6">
                  <c:v>5.6944999999999997</c:v>
                </c:pt>
                <c:pt idx="7">
                  <c:v>5.6944999999999997</c:v>
                </c:pt>
                <c:pt idx="8">
                  <c:v>5.6944999999999997</c:v>
                </c:pt>
                <c:pt idx="9">
                  <c:v>5.6944999999999997</c:v>
                </c:pt>
                <c:pt idx="10">
                  <c:v>5.6944999999999997</c:v>
                </c:pt>
                <c:pt idx="11">
                  <c:v>5.6944999999999997</c:v>
                </c:pt>
                <c:pt idx="12">
                  <c:v>5.6944999999999997</c:v>
                </c:pt>
                <c:pt idx="13">
                  <c:v>5.6944999999999997</c:v>
                </c:pt>
                <c:pt idx="14">
                  <c:v>0</c:v>
                </c:pt>
                <c:pt idx="15">
                  <c:v>0</c:v>
                </c:pt>
                <c:pt idx="16">
                  <c:v>0</c:v>
                </c:pt>
                <c:pt idx="17">
                  <c:v>0</c:v>
                </c:pt>
                <c:pt idx="18">
                  <c:v>0</c:v>
                </c:pt>
                <c:pt idx="19">
                  <c:v>0</c:v>
                </c:pt>
              </c:numCache>
            </c:numRef>
          </c:val>
          <c:extLst>
            <c:ext xmlns:c16="http://schemas.microsoft.com/office/drawing/2014/chart" uri="{C3380CC4-5D6E-409C-BE32-E72D297353CC}">
              <c16:uniqueId val="{00000007-5294-4139-8825-D7B35971A9EB}"/>
            </c:ext>
          </c:extLst>
        </c:ser>
        <c:ser>
          <c:idx val="7"/>
          <c:order val="7"/>
          <c:tx>
            <c:strRef>
              <c:f>'Markthochlauf Oxyfuel'!$A$8</c:f>
              <c:strCache>
                <c:ptCount val="1"/>
                <c:pt idx="0">
                  <c:v>KSV 2 CAPEX</c:v>
                </c:pt>
              </c:strCache>
            </c:strRef>
          </c:tx>
          <c:spPr>
            <a:pattFill prst="pct75">
              <a:fgClr>
                <a:schemeClr val="accent2"/>
              </a:fgClr>
              <a:bgClr>
                <a:schemeClr val="bg1"/>
              </a:bgClr>
            </a:pattFill>
            <a:ln>
              <a:noFill/>
            </a:ln>
            <a:effectLst/>
          </c:spPr>
          <c:invertIfNegative val="0"/>
          <c:val>
            <c:numRef>
              <c:f>'Markthochlauf Oxyfuel'!$D$8:$W$8</c:f>
              <c:numCache>
                <c:formatCode>General</c:formatCode>
                <c:ptCount val="20"/>
                <c:pt idx="0">
                  <c:v>0</c:v>
                </c:pt>
                <c:pt idx="1">
                  <c:v>0</c:v>
                </c:pt>
                <c:pt idx="2">
                  <c:v>0</c:v>
                </c:pt>
                <c:pt idx="3">
                  <c:v>0</c:v>
                </c:pt>
                <c:pt idx="4">
                  <c:v>0</c:v>
                </c:pt>
                <c:pt idx="5">
                  <c:v>5.6944999999999997</c:v>
                </c:pt>
                <c:pt idx="6">
                  <c:v>5.6944999999999997</c:v>
                </c:pt>
                <c:pt idx="7">
                  <c:v>5.6944999999999997</c:v>
                </c:pt>
                <c:pt idx="8">
                  <c:v>5.6944999999999997</c:v>
                </c:pt>
                <c:pt idx="9">
                  <c:v>5.6944999999999997</c:v>
                </c:pt>
                <c:pt idx="10">
                  <c:v>5.6944999999999997</c:v>
                </c:pt>
                <c:pt idx="11">
                  <c:v>5.6944999999999997</c:v>
                </c:pt>
                <c:pt idx="12">
                  <c:v>5.6944999999999997</c:v>
                </c:pt>
                <c:pt idx="13">
                  <c:v>5.6944999999999997</c:v>
                </c:pt>
                <c:pt idx="14">
                  <c:v>5.6944999999999997</c:v>
                </c:pt>
                <c:pt idx="15">
                  <c:v>0</c:v>
                </c:pt>
                <c:pt idx="16">
                  <c:v>0</c:v>
                </c:pt>
                <c:pt idx="17">
                  <c:v>0</c:v>
                </c:pt>
                <c:pt idx="18">
                  <c:v>0</c:v>
                </c:pt>
                <c:pt idx="19">
                  <c:v>0</c:v>
                </c:pt>
              </c:numCache>
            </c:numRef>
          </c:val>
          <c:extLst>
            <c:ext xmlns:c16="http://schemas.microsoft.com/office/drawing/2014/chart" uri="{C3380CC4-5D6E-409C-BE32-E72D297353CC}">
              <c16:uniqueId val="{00000008-5294-4139-8825-D7B35971A9EB}"/>
            </c:ext>
          </c:extLst>
        </c:ser>
        <c:ser>
          <c:idx val="8"/>
          <c:order val="8"/>
          <c:tx>
            <c:strRef>
              <c:f>'Markthochlauf Oxyfuel'!$A$9</c:f>
              <c:strCache>
                <c:ptCount val="1"/>
                <c:pt idx="0">
                  <c:v>KSV 3 CAPEX</c:v>
                </c:pt>
              </c:strCache>
            </c:strRef>
          </c:tx>
          <c:spPr>
            <a:solidFill>
              <a:schemeClr val="accent3">
                <a:lumMod val="60000"/>
              </a:schemeClr>
            </a:solidFill>
            <a:ln>
              <a:noFill/>
            </a:ln>
            <a:effectLst/>
          </c:spPr>
          <c:invertIfNegative val="0"/>
          <c:dPt>
            <c:idx val="4"/>
            <c:invertIfNegative val="0"/>
            <c:bubble3D val="0"/>
            <c:spPr>
              <a:pattFill prst="pct75">
                <a:fgClr>
                  <a:schemeClr val="accent3"/>
                </a:fgClr>
                <a:bgClr>
                  <a:schemeClr val="bg1"/>
                </a:bgClr>
              </a:pattFill>
              <a:ln>
                <a:noFill/>
              </a:ln>
              <a:effectLst/>
            </c:spPr>
            <c:extLst>
              <c:ext xmlns:c16="http://schemas.microsoft.com/office/drawing/2014/chart" uri="{C3380CC4-5D6E-409C-BE32-E72D297353CC}">
                <c16:uniqueId val="{0000000A-5294-4139-8825-D7B35971A9EB}"/>
              </c:ext>
            </c:extLst>
          </c:dPt>
          <c:val>
            <c:numRef>
              <c:f>'Markthochlauf Oxyfuel'!$D$9:$W$9</c:f>
              <c:numCache>
                <c:formatCode>General</c:formatCode>
                <c:ptCount val="20"/>
                <c:pt idx="0">
                  <c:v>0</c:v>
                </c:pt>
                <c:pt idx="1">
                  <c:v>0</c:v>
                </c:pt>
                <c:pt idx="2">
                  <c:v>0</c:v>
                </c:pt>
                <c:pt idx="3">
                  <c:v>0</c:v>
                </c:pt>
                <c:pt idx="4">
                  <c:v>0</c:v>
                </c:pt>
                <c:pt idx="5">
                  <c:v>0</c:v>
                </c:pt>
                <c:pt idx="6">
                  <c:v>5.6944999999999997</c:v>
                </c:pt>
                <c:pt idx="7">
                  <c:v>5.6944999999999997</c:v>
                </c:pt>
                <c:pt idx="8">
                  <c:v>5.6944999999999997</c:v>
                </c:pt>
                <c:pt idx="9">
                  <c:v>5.6944999999999997</c:v>
                </c:pt>
                <c:pt idx="10">
                  <c:v>5.6944999999999997</c:v>
                </c:pt>
                <c:pt idx="11">
                  <c:v>5.6944999999999997</c:v>
                </c:pt>
                <c:pt idx="12">
                  <c:v>5.6944999999999997</c:v>
                </c:pt>
                <c:pt idx="13">
                  <c:v>5.6944999999999997</c:v>
                </c:pt>
                <c:pt idx="14">
                  <c:v>5.6944999999999997</c:v>
                </c:pt>
                <c:pt idx="15">
                  <c:v>5.6944999999999997</c:v>
                </c:pt>
                <c:pt idx="16">
                  <c:v>0</c:v>
                </c:pt>
                <c:pt idx="17">
                  <c:v>0</c:v>
                </c:pt>
                <c:pt idx="18">
                  <c:v>0</c:v>
                </c:pt>
                <c:pt idx="19">
                  <c:v>0</c:v>
                </c:pt>
              </c:numCache>
            </c:numRef>
          </c:val>
          <c:extLst>
            <c:ext xmlns:c16="http://schemas.microsoft.com/office/drawing/2014/chart" uri="{C3380CC4-5D6E-409C-BE32-E72D297353CC}">
              <c16:uniqueId val="{0000000B-5294-4139-8825-D7B35971A9EB}"/>
            </c:ext>
          </c:extLst>
        </c:ser>
        <c:ser>
          <c:idx val="9"/>
          <c:order val="9"/>
          <c:tx>
            <c:strRef>
              <c:f>'Markthochlauf Oxyfuel'!$A$10</c:f>
              <c:strCache>
                <c:ptCount val="1"/>
                <c:pt idx="0">
                  <c:v>KSV 4 CAPEX</c:v>
                </c:pt>
              </c:strCache>
            </c:strRef>
          </c:tx>
          <c:spPr>
            <a:pattFill prst="pct75">
              <a:fgClr>
                <a:schemeClr val="accent4"/>
              </a:fgClr>
              <a:bgClr>
                <a:schemeClr val="bg1"/>
              </a:bgClr>
            </a:pattFill>
            <a:ln>
              <a:noFill/>
            </a:ln>
            <a:effectLst/>
          </c:spPr>
          <c:invertIfNegative val="0"/>
          <c:val>
            <c:numRef>
              <c:f>'Markthochlauf Oxyfuel'!$D$10:$W$10</c:f>
              <c:numCache>
                <c:formatCode>General</c:formatCode>
                <c:ptCount val="20"/>
                <c:pt idx="0">
                  <c:v>0</c:v>
                </c:pt>
                <c:pt idx="1">
                  <c:v>0</c:v>
                </c:pt>
                <c:pt idx="2">
                  <c:v>0</c:v>
                </c:pt>
                <c:pt idx="3">
                  <c:v>0</c:v>
                </c:pt>
                <c:pt idx="4">
                  <c:v>0</c:v>
                </c:pt>
                <c:pt idx="5">
                  <c:v>0</c:v>
                </c:pt>
                <c:pt idx="6">
                  <c:v>0</c:v>
                </c:pt>
                <c:pt idx="7">
                  <c:v>5.6944999999999997</c:v>
                </c:pt>
                <c:pt idx="8">
                  <c:v>5.6944999999999997</c:v>
                </c:pt>
                <c:pt idx="9">
                  <c:v>5.6944999999999997</c:v>
                </c:pt>
                <c:pt idx="10">
                  <c:v>5.6944999999999997</c:v>
                </c:pt>
                <c:pt idx="11">
                  <c:v>5.6944999999999997</c:v>
                </c:pt>
                <c:pt idx="12">
                  <c:v>5.6944999999999997</c:v>
                </c:pt>
                <c:pt idx="13">
                  <c:v>5.6944999999999997</c:v>
                </c:pt>
                <c:pt idx="14">
                  <c:v>5.6944999999999997</c:v>
                </c:pt>
                <c:pt idx="15">
                  <c:v>5.6944999999999997</c:v>
                </c:pt>
                <c:pt idx="16">
                  <c:v>5.6944999999999997</c:v>
                </c:pt>
                <c:pt idx="17">
                  <c:v>0</c:v>
                </c:pt>
                <c:pt idx="18">
                  <c:v>0</c:v>
                </c:pt>
                <c:pt idx="19">
                  <c:v>0</c:v>
                </c:pt>
              </c:numCache>
            </c:numRef>
          </c:val>
          <c:extLst>
            <c:ext xmlns:c16="http://schemas.microsoft.com/office/drawing/2014/chart" uri="{C3380CC4-5D6E-409C-BE32-E72D297353CC}">
              <c16:uniqueId val="{0000000C-5294-4139-8825-D7B35971A9EB}"/>
            </c:ext>
          </c:extLst>
        </c:ser>
        <c:ser>
          <c:idx val="10"/>
          <c:order val="10"/>
          <c:tx>
            <c:strRef>
              <c:f>'Markthochlauf Oxyfuel'!$A$11</c:f>
              <c:strCache>
                <c:ptCount val="1"/>
                <c:pt idx="0">
                  <c:v>KSV 5 CAPEX</c:v>
                </c:pt>
              </c:strCache>
            </c:strRef>
          </c:tx>
          <c:spPr>
            <a:pattFill prst="pct75">
              <a:fgClr>
                <a:schemeClr val="accent5"/>
              </a:fgClr>
              <a:bgClr>
                <a:schemeClr val="bg1"/>
              </a:bgClr>
            </a:pattFill>
            <a:ln>
              <a:noFill/>
            </a:ln>
            <a:effectLst/>
          </c:spPr>
          <c:invertIfNegative val="0"/>
          <c:val>
            <c:numRef>
              <c:f>'Markthochlauf Oxyfuel'!$D$11:$W$11</c:f>
              <c:numCache>
                <c:formatCode>General</c:formatCode>
                <c:ptCount val="20"/>
                <c:pt idx="0">
                  <c:v>0</c:v>
                </c:pt>
                <c:pt idx="1">
                  <c:v>0</c:v>
                </c:pt>
                <c:pt idx="2">
                  <c:v>0</c:v>
                </c:pt>
                <c:pt idx="3">
                  <c:v>0</c:v>
                </c:pt>
                <c:pt idx="4">
                  <c:v>0</c:v>
                </c:pt>
                <c:pt idx="5">
                  <c:v>0</c:v>
                </c:pt>
                <c:pt idx="6">
                  <c:v>0</c:v>
                </c:pt>
                <c:pt idx="7">
                  <c:v>0</c:v>
                </c:pt>
                <c:pt idx="8">
                  <c:v>5.6944999999999997</c:v>
                </c:pt>
                <c:pt idx="9">
                  <c:v>5.6944999999999997</c:v>
                </c:pt>
                <c:pt idx="10">
                  <c:v>5.6944999999999997</c:v>
                </c:pt>
                <c:pt idx="11">
                  <c:v>5.6944999999999997</c:v>
                </c:pt>
                <c:pt idx="12">
                  <c:v>5.6944999999999997</c:v>
                </c:pt>
                <c:pt idx="13">
                  <c:v>5.6944999999999997</c:v>
                </c:pt>
                <c:pt idx="14">
                  <c:v>5.6944999999999997</c:v>
                </c:pt>
                <c:pt idx="15">
                  <c:v>5.6944999999999997</c:v>
                </c:pt>
                <c:pt idx="16">
                  <c:v>5.6944999999999997</c:v>
                </c:pt>
                <c:pt idx="17">
                  <c:v>5.6944999999999997</c:v>
                </c:pt>
                <c:pt idx="18">
                  <c:v>0</c:v>
                </c:pt>
                <c:pt idx="19">
                  <c:v>0</c:v>
                </c:pt>
              </c:numCache>
            </c:numRef>
          </c:val>
          <c:extLst>
            <c:ext xmlns:c16="http://schemas.microsoft.com/office/drawing/2014/chart" uri="{C3380CC4-5D6E-409C-BE32-E72D297353CC}">
              <c16:uniqueId val="{0000000D-5294-4139-8825-D7B35971A9EB}"/>
            </c:ext>
          </c:extLst>
        </c:ser>
        <c:ser>
          <c:idx val="11"/>
          <c:order val="11"/>
          <c:tx>
            <c:strRef>
              <c:f>'Markthochlauf Oxyfuel'!$A$12</c:f>
              <c:strCache>
                <c:ptCount val="1"/>
                <c:pt idx="0">
                  <c:v>KSV 6 CAPEX</c:v>
                </c:pt>
              </c:strCache>
            </c:strRef>
          </c:tx>
          <c:spPr>
            <a:pattFill prst="pct75">
              <a:fgClr>
                <a:schemeClr val="accent6"/>
              </a:fgClr>
              <a:bgClr>
                <a:schemeClr val="bg1"/>
              </a:bgClr>
            </a:pattFill>
            <a:ln>
              <a:noFill/>
            </a:ln>
            <a:effectLst/>
          </c:spPr>
          <c:invertIfNegative val="0"/>
          <c:val>
            <c:numRef>
              <c:f>'Markthochlauf Oxyfuel'!$D$12:$W$12</c:f>
              <c:numCache>
                <c:formatCode>General</c:formatCode>
                <c:ptCount val="20"/>
                <c:pt idx="0">
                  <c:v>0</c:v>
                </c:pt>
                <c:pt idx="1">
                  <c:v>0</c:v>
                </c:pt>
                <c:pt idx="2">
                  <c:v>0</c:v>
                </c:pt>
                <c:pt idx="3">
                  <c:v>0</c:v>
                </c:pt>
                <c:pt idx="4">
                  <c:v>0</c:v>
                </c:pt>
                <c:pt idx="5">
                  <c:v>0</c:v>
                </c:pt>
                <c:pt idx="6">
                  <c:v>0</c:v>
                </c:pt>
                <c:pt idx="7">
                  <c:v>0</c:v>
                </c:pt>
                <c:pt idx="8">
                  <c:v>0</c:v>
                </c:pt>
                <c:pt idx="9">
                  <c:v>5.6944999999999997</c:v>
                </c:pt>
                <c:pt idx="10">
                  <c:v>5.6944999999999997</c:v>
                </c:pt>
                <c:pt idx="11">
                  <c:v>5.6944999999999997</c:v>
                </c:pt>
                <c:pt idx="12">
                  <c:v>5.6944999999999997</c:v>
                </c:pt>
                <c:pt idx="13">
                  <c:v>5.6944999999999997</c:v>
                </c:pt>
                <c:pt idx="14">
                  <c:v>5.6944999999999997</c:v>
                </c:pt>
                <c:pt idx="15">
                  <c:v>5.6944999999999997</c:v>
                </c:pt>
                <c:pt idx="16">
                  <c:v>5.6944999999999997</c:v>
                </c:pt>
                <c:pt idx="17">
                  <c:v>5.6944999999999997</c:v>
                </c:pt>
                <c:pt idx="18">
                  <c:v>5.6944999999999997</c:v>
                </c:pt>
                <c:pt idx="19">
                  <c:v>0</c:v>
                </c:pt>
              </c:numCache>
            </c:numRef>
          </c:val>
          <c:extLst>
            <c:ext xmlns:c16="http://schemas.microsoft.com/office/drawing/2014/chart" uri="{C3380CC4-5D6E-409C-BE32-E72D297353CC}">
              <c16:uniqueId val="{0000000E-5294-4139-8825-D7B35971A9EB}"/>
            </c:ext>
          </c:extLst>
        </c:ser>
        <c:dLbls>
          <c:showLegendKey val="0"/>
          <c:showVal val="0"/>
          <c:showCatName val="0"/>
          <c:showSerName val="0"/>
          <c:showPercent val="0"/>
          <c:showBubbleSize val="0"/>
        </c:dLbls>
        <c:gapWidth val="150"/>
        <c:overlap val="100"/>
        <c:axId val="1253689087"/>
        <c:axId val="1253692415"/>
      </c:barChart>
      <c:lineChart>
        <c:grouping val="standard"/>
        <c:varyColors val="0"/>
        <c:ser>
          <c:idx val="13"/>
          <c:order val="12"/>
          <c:tx>
            <c:strRef>
              <c:f>'Markthochlauf Oxyfuel'!$A$88</c:f>
              <c:strCache>
                <c:ptCount val="1"/>
                <c:pt idx="0">
                  <c:v>CO2 Emissionen Zementindustrie [Mt CO2]</c:v>
                </c:pt>
              </c:strCache>
            </c:strRef>
          </c:tx>
          <c:spPr>
            <a:ln w="28575" cap="rnd">
              <a:solidFill>
                <a:schemeClr val="accent6"/>
              </a:solidFill>
              <a:round/>
            </a:ln>
            <a:effectLst/>
          </c:spPr>
          <c:marker>
            <c:symbol val="none"/>
          </c:marker>
          <c:val>
            <c:numRef>
              <c:f>'Markthochlauf Oxyfuel'!$D$95:$W$95</c:f>
              <c:numCache>
                <c:formatCode>General</c:formatCode>
                <c:ptCount val="20"/>
                <c:pt idx="0">
                  <c:v>19</c:v>
                </c:pt>
                <c:pt idx="1">
                  <c:v>19</c:v>
                </c:pt>
                <c:pt idx="2">
                  <c:v>19</c:v>
                </c:pt>
                <c:pt idx="3">
                  <c:v>19</c:v>
                </c:pt>
                <c:pt idx="4">
                  <c:v>18.627314275</c:v>
                </c:pt>
                <c:pt idx="5">
                  <c:v>18.25462855</c:v>
                </c:pt>
                <c:pt idx="6">
                  <c:v>17.881942824999999</c:v>
                </c:pt>
                <c:pt idx="7">
                  <c:v>17.509257099999999</c:v>
                </c:pt>
                <c:pt idx="8">
                  <c:v>17.136571374999999</c:v>
                </c:pt>
                <c:pt idx="9">
                  <c:v>16.763885649999999</c:v>
                </c:pt>
                <c:pt idx="10">
                  <c:v>16.763885649999999</c:v>
                </c:pt>
                <c:pt idx="11">
                  <c:v>16.763885649999999</c:v>
                </c:pt>
                <c:pt idx="12">
                  <c:v>16.763885649999999</c:v>
                </c:pt>
                <c:pt idx="13">
                  <c:v>16.763885649999999</c:v>
                </c:pt>
                <c:pt idx="14">
                  <c:v>16.763885649999999</c:v>
                </c:pt>
                <c:pt idx="15">
                  <c:v>16.763885649999999</c:v>
                </c:pt>
                <c:pt idx="16">
                  <c:v>16.763885649999999</c:v>
                </c:pt>
                <c:pt idx="17">
                  <c:v>16.763885649999999</c:v>
                </c:pt>
                <c:pt idx="18">
                  <c:v>16.763885649999999</c:v>
                </c:pt>
                <c:pt idx="19">
                  <c:v>16.763885649999999</c:v>
                </c:pt>
              </c:numCache>
            </c:numRef>
          </c:val>
          <c:smooth val="0"/>
          <c:extLst>
            <c:ext xmlns:c16="http://schemas.microsoft.com/office/drawing/2014/chart" uri="{C3380CC4-5D6E-409C-BE32-E72D297353CC}">
              <c16:uniqueId val="{0000000F-5294-4139-8825-D7B35971A9EB}"/>
            </c:ext>
          </c:extLst>
        </c:ser>
        <c:dLbls>
          <c:showLegendKey val="0"/>
          <c:showVal val="0"/>
          <c:showCatName val="0"/>
          <c:showSerName val="0"/>
          <c:showPercent val="0"/>
          <c:showBubbleSize val="0"/>
        </c:dLbls>
        <c:marker val="1"/>
        <c:smooth val="0"/>
        <c:axId val="1089354447"/>
        <c:axId val="1094529167"/>
      </c:lineChart>
      <c:catAx>
        <c:axId val="125368908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53692415"/>
        <c:crosses val="autoZero"/>
        <c:auto val="1"/>
        <c:lblAlgn val="ctr"/>
        <c:lblOffset val="100"/>
        <c:noMultiLvlLbl val="0"/>
      </c:catAx>
      <c:valAx>
        <c:axId val="1253692415"/>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Mehrkosten Gesamt [Mio. €]</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53689087"/>
        <c:crosses val="autoZero"/>
        <c:crossBetween val="between"/>
      </c:valAx>
      <c:valAx>
        <c:axId val="1094529167"/>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89354447"/>
        <c:crosses val="max"/>
        <c:crossBetween val="between"/>
      </c:valAx>
      <c:catAx>
        <c:axId val="1089354447"/>
        <c:scaling>
          <c:orientation val="minMax"/>
        </c:scaling>
        <c:delete val="1"/>
        <c:axPos val="b"/>
        <c:majorTickMark val="out"/>
        <c:minorTickMark val="none"/>
        <c:tickLblPos val="nextTo"/>
        <c:crossAx val="1094529167"/>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8740157499999996" l="0.7" r="0.7" t="0.78740157499999996"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Nur OPEX</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0"/>
          <c:order val="0"/>
          <c:tx>
            <c:strRef>
              <c:f>'Markthochlauf Oxyfuel'!$A$29</c:f>
              <c:strCache>
                <c:ptCount val="1"/>
                <c:pt idx="0">
                  <c:v>KSV 1</c:v>
                </c:pt>
              </c:strCache>
            </c:strRef>
          </c:tx>
          <c:spPr>
            <a:solidFill>
              <a:schemeClr val="accent1"/>
            </a:solidFill>
            <a:ln>
              <a:noFill/>
            </a:ln>
            <a:effectLst/>
          </c:spPr>
          <c:invertIfNegative val="0"/>
          <c:cat>
            <c:numLit>
              <c:formatCode>General</c:formatCode>
              <c:ptCount val="20"/>
              <c:pt idx="0">
                <c:v>2021</c:v>
              </c:pt>
              <c:pt idx="1">
                <c:v>2022</c:v>
              </c:pt>
              <c:pt idx="2">
                <c:v>2023</c:v>
              </c:pt>
              <c:pt idx="3">
                <c:v>2024</c:v>
              </c:pt>
              <c:pt idx="4">
                <c:v>2025</c:v>
              </c:pt>
              <c:pt idx="5">
                <c:v>2026</c:v>
              </c:pt>
              <c:pt idx="6">
                <c:v>2027</c:v>
              </c:pt>
              <c:pt idx="7">
                <c:v>2028</c:v>
              </c:pt>
              <c:pt idx="8">
                <c:v>2029</c:v>
              </c:pt>
              <c:pt idx="9">
                <c:v>2030</c:v>
              </c:pt>
              <c:pt idx="10">
                <c:v>2031</c:v>
              </c:pt>
              <c:pt idx="11">
                <c:v>2032</c:v>
              </c:pt>
              <c:pt idx="12">
                <c:v>2033</c:v>
              </c:pt>
              <c:pt idx="13">
                <c:v>2034</c:v>
              </c:pt>
              <c:pt idx="14">
                <c:v>2035</c:v>
              </c:pt>
              <c:pt idx="15">
                <c:v>2036</c:v>
              </c:pt>
              <c:pt idx="16">
                <c:v>2037</c:v>
              </c:pt>
              <c:pt idx="17">
                <c:v>2038</c:v>
              </c:pt>
              <c:pt idx="18">
                <c:v>2039</c:v>
              </c:pt>
              <c:pt idx="19">
                <c:v>2040</c:v>
              </c:pt>
            </c:numLit>
          </c:cat>
          <c:val>
            <c:numRef>
              <c:f>'Markthochlauf Oxyfuel'!$D$29:$W$29</c:f>
              <c:numCache>
                <c:formatCode>General</c:formatCode>
                <c:ptCount val="20"/>
                <c:pt idx="0">
                  <c:v>0</c:v>
                </c:pt>
                <c:pt idx="1">
                  <c:v>0</c:v>
                </c:pt>
                <c:pt idx="2">
                  <c:v>0</c:v>
                </c:pt>
                <c:pt idx="3">
                  <c:v>0</c:v>
                </c:pt>
                <c:pt idx="4">
                  <c:v>-4.1763175490174831E-2</c:v>
                </c:pt>
                <c:pt idx="5">
                  <c:v>-0.80837117549017634</c:v>
                </c:pt>
                <c:pt idx="6">
                  <c:v>-1.5749791754901743</c:v>
                </c:pt>
                <c:pt idx="7">
                  <c:v>-2.3415871754901758</c:v>
                </c:pt>
                <c:pt idx="8">
                  <c:v>-3.1081951754901738</c:v>
                </c:pt>
                <c:pt idx="9">
                  <c:v>-3.8748031754901753</c:v>
                </c:pt>
                <c:pt idx="10">
                  <c:v>-4.5647503754901742</c:v>
                </c:pt>
                <c:pt idx="11">
                  <c:v>-5.2546975754901766</c:v>
                </c:pt>
                <c:pt idx="12">
                  <c:v>-5.9446447754901754</c:v>
                </c:pt>
                <c:pt idx="13">
                  <c:v>-6.6345919754901743</c:v>
                </c:pt>
                <c:pt idx="14">
                  <c:v>0</c:v>
                </c:pt>
                <c:pt idx="15">
                  <c:v>0</c:v>
                </c:pt>
                <c:pt idx="16">
                  <c:v>0</c:v>
                </c:pt>
                <c:pt idx="17">
                  <c:v>0</c:v>
                </c:pt>
                <c:pt idx="18">
                  <c:v>0</c:v>
                </c:pt>
                <c:pt idx="19">
                  <c:v>0</c:v>
                </c:pt>
              </c:numCache>
            </c:numRef>
          </c:val>
          <c:extLst>
            <c:ext xmlns:c16="http://schemas.microsoft.com/office/drawing/2014/chart" uri="{C3380CC4-5D6E-409C-BE32-E72D297353CC}">
              <c16:uniqueId val="{00000000-F160-4C14-96FC-D2E54DF9DD94}"/>
            </c:ext>
          </c:extLst>
        </c:ser>
        <c:ser>
          <c:idx val="1"/>
          <c:order val="1"/>
          <c:tx>
            <c:strRef>
              <c:f>'Markthochlauf Oxyfuel'!$A$30</c:f>
              <c:strCache>
                <c:ptCount val="1"/>
                <c:pt idx="0">
                  <c:v>KSV 2</c:v>
                </c:pt>
              </c:strCache>
            </c:strRef>
          </c:tx>
          <c:spPr>
            <a:solidFill>
              <a:schemeClr val="accent2"/>
            </a:solidFill>
            <a:ln>
              <a:noFill/>
            </a:ln>
            <a:effectLst/>
          </c:spPr>
          <c:invertIfNegative val="0"/>
          <c:cat>
            <c:numLit>
              <c:formatCode>General</c:formatCode>
              <c:ptCount val="20"/>
              <c:pt idx="0">
                <c:v>2021</c:v>
              </c:pt>
              <c:pt idx="1">
                <c:v>2022</c:v>
              </c:pt>
              <c:pt idx="2">
                <c:v>2023</c:v>
              </c:pt>
              <c:pt idx="3">
                <c:v>2024</c:v>
              </c:pt>
              <c:pt idx="4">
                <c:v>2025</c:v>
              </c:pt>
              <c:pt idx="5">
                <c:v>2026</c:v>
              </c:pt>
              <c:pt idx="6">
                <c:v>2027</c:v>
              </c:pt>
              <c:pt idx="7">
                <c:v>2028</c:v>
              </c:pt>
              <c:pt idx="8">
                <c:v>2029</c:v>
              </c:pt>
              <c:pt idx="9">
                <c:v>2030</c:v>
              </c:pt>
              <c:pt idx="10">
                <c:v>2031</c:v>
              </c:pt>
              <c:pt idx="11">
                <c:v>2032</c:v>
              </c:pt>
              <c:pt idx="12">
                <c:v>2033</c:v>
              </c:pt>
              <c:pt idx="13">
                <c:v>2034</c:v>
              </c:pt>
              <c:pt idx="14">
                <c:v>2035</c:v>
              </c:pt>
              <c:pt idx="15">
                <c:v>2036</c:v>
              </c:pt>
              <c:pt idx="16">
                <c:v>2037</c:v>
              </c:pt>
              <c:pt idx="17">
                <c:v>2038</c:v>
              </c:pt>
              <c:pt idx="18">
                <c:v>2039</c:v>
              </c:pt>
              <c:pt idx="19">
                <c:v>2040</c:v>
              </c:pt>
            </c:numLit>
          </c:cat>
          <c:val>
            <c:numRef>
              <c:f>'Markthochlauf Oxyfuel'!$D$30:$W$30</c:f>
              <c:numCache>
                <c:formatCode>General</c:formatCode>
                <c:ptCount val="20"/>
                <c:pt idx="0">
                  <c:v>0</c:v>
                </c:pt>
                <c:pt idx="1">
                  <c:v>0</c:v>
                </c:pt>
                <c:pt idx="2">
                  <c:v>0</c:v>
                </c:pt>
                <c:pt idx="3">
                  <c:v>0</c:v>
                </c:pt>
                <c:pt idx="4">
                  <c:v>0</c:v>
                </c:pt>
                <c:pt idx="5">
                  <c:v>-0.80837117549017634</c:v>
                </c:pt>
                <c:pt idx="6">
                  <c:v>-1.5749791754901743</c:v>
                </c:pt>
                <c:pt idx="7">
                  <c:v>-2.3415871754901758</c:v>
                </c:pt>
                <c:pt idx="8">
                  <c:v>-3.1081951754901738</c:v>
                </c:pt>
                <c:pt idx="9">
                  <c:v>-3.8748031754901753</c:v>
                </c:pt>
                <c:pt idx="10">
                  <c:v>-4.5647503754901742</c:v>
                </c:pt>
                <c:pt idx="11">
                  <c:v>-5.2546975754901766</c:v>
                </c:pt>
                <c:pt idx="12">
                  <c:v>-5.9446447754901754</c:v>
                </c:pt>
                <c:pt idx="13">
                  <c:v>-6.6345919754901743</c:v>
                </c:pt>
                <c:pt idx="14">
                  <c:v>-7.3245391754901732</c:v>
                </c:pt>
                <c:pt idx="15">
                  <c:v>0</c:v>
                </c:pt>
                <c:pt idx="16">
                  <c:v>0</c:v>
                </c:pt>
                <c:pt idx="17">
                  <c:v>0</c:v>
                </c:pt>
                <c:pt idx="18">
                  <c:v>0</c:v>
                </c:pt>
                <c:pt idx="19">
                  <c:v>0</c:v>
                </c:pt>
              </c:numCache>
            </c:numRef>
          </c:val>
          <c:extLst>
            <c:ext xmlns:c16="http://schemas.microsoft.com/office/drawing/2014/chart" uri="{C3380CC4-5D6E-409C-BE32-E72D297353CC}">
              <c16:uniqueId val="{00000001-F160-4C14-96FC-D2E54DF9DD94}"/>
            </c:ext>
          </c:extLst>
        </c:ser>
        <c:ser>
          <c:idx val="2"/>
          <c:order val="2"/>
          <c:tx>
            <c:strRef>
              <c:f>'Markthochlauf Oxyfuel'!$A$31</c:f>
              <c:strCache>
                <c:ptCount val="1"/>
                <c:pt idx="0">
                  <c:v>KSV 3</c:v>
                </c:pt>
              </c:strCache>
            </c:strRef>
          </c:tx>
          <c:spPr>
            <a:solidFill>
              <a:schemeClr val="accent3"/>
            </a:solidFill>
            <a:ln>
              <a:noFill/>
            </a:ln>
            <a:effectLst/>
          </c:spPr>
          <c:invertIfNegative val="0"/>
          <c:cat>
            <c:numLit>
              <c:formatCode>General</c:formatCode>
              <c:ptCount val="20"/>
              <c:pt idx="0">
                <c:v>2021</c:v>
              </c:pt>
              <c:pt idx="1">
                <c:v>2022</c:v>
              </c:pt>
              <c:pt idx="2">
                <c:v>2023</c:v>
              </c:pt>
              <c:pt idx="3">
                <c:v>2024</c:v>
              </c:pt>
              <c:pt idx="4">
                <c:v>2025</c:v>
              </c:pt>
              <c:pt idx="5">
                <c:v>2026</c:v>
              </c:pt>
              <c:pt idx="6">
                <c:v>2027</c:v>
              </c:pt>
              <c:pt idx="7">
                <c:v>2028</c:v>
              </c:pt>
              <c:pt idx="8">
                <c:v>2029</c:v>
              </c:pt>
              <c:pt idx="9">
                <c:v>2030</c:v>
              </c:pt>
              <c:pt idx="10">
                <c:v>2031</c:v>
              </c:pt>
              <c:pt idx="11">
                <c:v>2032</c:v>
              </c:pt>
              <c:pt idx="12">
                <c:v>2033</c:v>
              </c:pt>
              <c:pt idx="13">
                <c:v>2034</c:v>
              </c:pt>
              <c:pt idx="14">
                <c:v>2035</c:v>
              </c:pt>
              <c:pt idx="15">
                <c:v>2036</c:v>
              </c:pt>
              <c:pt idx="16">
                <c:v>2037</c:v>
              </c:pt>
              <c:pt idx="17">
                <c:v>2038</c:v>
              </c:pt>
              <c:pt idx="18">
                <c:v>2039</c:v>
              </c:pt>
              <c:pt idx="19">
                <c:v>2040</c:v>
              </c:pt>
            </c:numLit>
          </c:cat>
          <c:val>
            <c:numRef>
              <c:f>'Markthochlauf Oxyfuel'!$D$31:$W$31</c:f>
              <c:numCache>
                <c:formatCode>General</c:formatCode>
                <c:ptCount val="20"/>
                <c:pt idx="0">
                  <c:v>0</c:v>
                </c:pt>
                <c:pt idx="1">
                  <c:v>0</c:v>
                </c:pt>
                <c:pt idx="2">
                  <c:v>0</c:v>
                </c:pt>
                <c:pt idx="3">
                  <c:v>0</c:v>
                </c:pt>
                <c:pt idx="4">
                  <c:v>0</c:v>
                </c:pt>
                <c:pt idx="5">
                  <c:v>0</c:v>
                </c:pt>
                <c:pt idx="6">
                  <c:v>-1.5749791754901743</c:v>
                </c:pt>
                <c:pt idx="7">
                  <c:v>-2.3415871754901758</c:v>
                </c:pt>
                <c:pt idx="8">
                  <c:v>-3.1081951754901738</c:v>
                </c:pt>
                <c:pt idx="9">
                  <c:v>-3.8748031754901753</c:v>
                </c:pt>
                <c:pt idx="10">
                  <c:v>-4.5647503754901742</c:v>
                </c:pt>
                <c:pt idx="11">
                  <c:v>-5.2546975754901766</c:v>
                </c:pt>
                <c:pt idx="12">
                  <c:v>-5.9446447754901754</c:v>
                </c:pt>
                <c:pt idx="13">
                  <c:v>-6.6345919754901743</c:v>
                </c:pt>
                <c:pt idx="14">
                  <c:v>-7.3245391754901732</c:v>
                </c:pt>
                <c:pt idx="15">
                  <c:v>-8.0144863754901756</c:v>
                </c:pt>
                <c:pt idx="16">
                  <c:v>0</c:v>
                </c:pt>
                <c:pt idx="17">
                  <c:v>0</c:v>
                </c:pt>
                <c:pt idx="18">
                  <c:v>0</c:v>
                </c:pt>
                <c:pt idx="19">
                  <c:v>0</c:v>
                </c:pt>
              </c:numCache>
            </c:numRef>
          </c:val>
          <c:extLst>
            <c:ext xmlns:c16="http://schemas.microsoft.com/office/drawing/2014/chart" uri="{C3380CC4-5D6E-409C-BE32-E72D297353CC}">
              <c16:uniqueId val="{00000002-F160-4C14-96FC-D2E54DF9DD94}"/>
            </c:ext>
          </c:extLst>
        </c:ser>
        <c:ser>
          <c:idx val="3"/>
          <c:order val="3"/>
          <c:tx>
            <c:strRef>
              <c:f>'Markthochlauf Oxyfuel'!$A$32</c:f>
              <c:strCache>
                <c:ptCount val="1"/>
                <c:pt idx="0">
                  <c:v>KSV 4</c:v>
                </c:pt>
              </c:strCache>
            </c:strRef>
          </c:tx>
          <c:spPr>
            <a:solidFill>
              <a:schemeClr val="accent4"/>
            </a:solidFill>
            <a:ln>
              <a:noFill/>
            </a:ln>
            <a:effectLst/>
          </c:spPr>
          <c:invertIfNegative val="0"/>
          <c:cat>
            <c:numLit>
              <c:formatCode>General</c:formatCode>
              <c:ptCount val="20"/>
              <c:pt idx="0">
                <c:v>2021</c:v>
              </c:pt>
              <c:pt idx="1">
                <c:v>2022</c:v>
              </c:pt>
              <c:pt idx="2">
                <c:v>2023</c:v>
              </c:pt>
              <c:pt idx="3">
                <c:v>2024</c:v>
              </c:pt>
              <c:pt idx="4">
                <c:v>2025</c:v>
              </c:pt>
              <c:pt idx="5">
                <c:v>2026</c:v>
              </c:pt>
              <c:pt idx="6">
                <c:v>2027</c:v>
              </c:pt>
              <c:pt idx="7">
                <c:v>2028</c:v>
              </c:pt>
              <c:pt idx="8">
                <c:v>2029</c:v>
              </c:pt>
              <c:pt idx="9">
                <c:v>2030</c:v>
              </c:pt>
              <c:pt idx="10">
                <c:v>2031</c:v>
              </c:pt>
              <c:pt idx="11">
                <c:v>2032</c:v>
              </c:pt>
              <c:pt idx="12">
                <c:v>2033</c:v>
              </c:pt>
              <c:pt idx="13">
                <c:v>2034</c:v>
              </c:pt>
              <c:pt idx="14">
                <c:v>2035</c:v>
              </c:pt>
              <c:pt idx="15">
                <c:v>2036</c:v>
              </c:pt>
              <c:pt idx="16">
                <c:v>2037</c:v>
              </c:pt>
              <c:pt idx="17">
                <c:v>2038</c:v>
              </c:pt>
              <c:pt idx="18">
                <c:v>2039</c:v>
              </c:pt>
              <c:pt idx="19">
                <c:v>2040</c:v>
              </c:pt>
            </c:numLit>
          </c:cat>
          <c:val>
            <c:numRef>
              <c:f>'Markthochlauf Oxyfuel'!$D$32:$W$32</c:f>
              <c:numCache>
                <c:formatCode>General</c:formatCode>
                <c:ptCount val="20"/>
                <c:pt idx="0">
                  <c:v>0</c:v>
                </c:pt>
                <c:pt idx="1">
                  <c:v>0</c:v>
                </c:pt>
                <c:pt idx="2">
                  <c:v>0</c:v>
                </c:pt>
                <c:pt idx="3">
                  <c:v>0</c:v>
                </c:pt>
                <c:pt idx="4">
                  <c:v>0</c:v>
                </c:pt>
                <c:pt idx="5">
                  <c:v>0</c:v>
                </c:pt>
                <c:pt idx="6">
                  <c:v>0</c:v>
                </c:pt>
                <c:pt idx="7">
                  <c:v>-2.3415871754901758</c:v>
                </c:pt>
                <c:pt idx="8">
                  <c:v>-3.1081951754901738</c:v>
                </c:pt>
                <c:pt idx="9">
                  <c:v>-3.8748031754901753</c:v>
                </c:pt>
                <c:pt idx="10">
                  <c:v>-4.5647503754901742</c:v>
                </c:pt>
                <c:pt idx="11">
                  <c:v>-5.2546975754901766</c:v>
                </c:pt>
                <c:pt idx="12">
                  <c:v>-5.9446447754901754</c:v>
                </c:pt>
                <c:pt idx="13">
                  <c:v>-6.6345919754901743</c:v>
                </c:pt>
                <c:pt idx="14">
                  <c:v>-7.3245391754901732</c:v>
                </c:pt>
                <c:pt idx="15">
                  <c:v>-8.0144863754901756</c:v>
                </c:pt>
                <c:pt idx="16">
                  <c:v>-8.7044335754901745</c:v>
                </c:pt>
                <c:pt idx="17">
                  <c:v>0</c:v>
                </c:pt>
                <c:pt idx="18">
                  <c:v>0</c:v>
                </c:pt>
                <c:pt idx="19">
                  <c:v>0</c:v>
                </c:pt>
              </c:numCache>
            </c:numRef>
          </c:val>
          <c:extLst>
            <c:ext xmlns:c16="http://schemas.microsoft.com/office/drawing/2014/chart" uri="{C3380CC4-5D6E-409C-BE32-E72D297353CC}">
              <c16:uniqueId val="{00000003-F160-4C14-96FC-D2E54DF9DD94}"/>
            </c:ext>
          </c:extLst>
        </c:ser>
        <c:ser>
          <c:idx val="4"/>
          <c:order val="4"/>
          <c:tx>
            <c:strRef>
              <c:f>'Markthochlauf Oxyfuel'!$A$33</c:f>
              <c:strCache>
                <c:ptCount val="1"/>
                <c:pt idx="0">
                  <c:v>KSV 5</c:v>
                </c:pt>
              </c:strCache>
            </c:strRef>
          </c:tx>
          <c:spPr>
            <a:solidFill>
              <a:schemeClr val="accent5"/>
            </a:solidFill>
            <a:ln>
              <a:noFill/>
            </a:ln>
            <a:effectLst/>
          </c:spPr>
          <c:invertIfNegative val="0"/>
          <c:cat>
            <c:numLit>
              <c:formatCode>General</c:formatCode>
              <c:ptCount val="20"/>
              <c:pt idx="0">
                <c:v>2021</c:v>
              </c:pt>
              <c:pt idx="1">
                <c:v>2022</c:v>
              </c:pt>
              <c:pt idx="2">
                <c:v>2023</c:v>
              </c:pt>
              <c:pt idx="3">
                <c:v>2024</c:v>
              </c:pt>
              <c:pt idx="4">
                <c:v>2025</c:v>
              </c:pt>
              <c:pt idx="5">
                <c:v>2026</c:v>
              </c:pt>
              <c:pt idx="6">
                <c:v>2027</c:v>
              </c:pt>
              <c:pt idx="7">
                <c:v>2028</c:v>
              </c:pt>
              <c:pt idx="8">
                <c:v>2029</c:v>
              </c:pt>
              <c:pt idx="9">
                <c:v>2030</c:v>
              </c:pt>
              <c:pt idx="10">
                <c:v>2031</c:v>
              </c:pt>
              <c:pt idx="11">
                <c:v>2032</c:v>
              </c:pt>
              <c:pt idx="12">
                <c:v>2033</c:v>
              </c:pt>
              <c:pt idx="13">
                <c:v>2034</c:v>
              </c:pt>
              <c:pt idx="14">
                <c:v>2035</c:v>
              </c:pt>
              <c:pt idx="15">
                <c:v>2036</c:v>
              </c:pt>
              <c:pt idx="16">
                <c:v>2037</c:v>
              </c:pt>
              <c:pt idx="17">
                <c:v>2038</c:v>
              </c:pt>
              <c:pt idx="18">
                <c:v>2039</c:v>
              </c:pt>
              <c:pt idx="19">
                <c:v>2040</c:v>
              </c:pt>
            </c:numLit>
          </c:cat>
          <c:val>
            <c:numRef>
              <c:f>'Markthochlauf Oxyfuel'!$D$33:$W$33</c:f>
              <c:numCache>
                <c:formatCode>General</c:formatCode>
                <c:ptCount val="20"/>
                <c:pt idx="0">
                  <c:v>0</c:v>
                </c:pt>
                <c:pt idx="1">
                  <c:v>0</c:v>
                </c:pt>
                <c:pt idx="2">
                  <c:v>0</c:v>
                </c:pt>
                <c:pt idx="3">
                  <c:v>0</c:v>
                </c:pt>
                <c:pt idx="4">
                  <c:v>0</c:v>
                </c:pt>
                <c:pt idx="5">
                  <c:v>0</c:v>
                </c:pt>
                <c:pt idx="6">
                  <c:v>0</c:v>
                </c:pt>
                <c:pt idx="7">
                  <c:v>0</c:v>
                </c:pt>
                <c:pt idx="8">
                  <c:v>-3.1081951754901738</c:v>
                </c:pt>
                <c:pt idx="9">
                  <c:v>-3.8748031754901753</c:v>
                </c:pt>
                <c:pt idx="10">
                  <c:v>-4.5647503754901742</c:v>
                </c:pt>
                <c:pt idx="11">
                  <c:v>-5.2546975754901766</c:v>
                </c:pt>
                <c:pt idx="12">
                  <c:v>-5.9446447754901754</c:v>
                </c:pt>
                <c:pt idx="13">
                  <c:v>-6.6345919754901743</c:v>
                </c:pt>
                <c:pt idx="14">
                  <c:v>-7.3245391754901732</c:v>
                </c:pt>
                <c:pt idx="15">
                  <c:v>-8.0144863754901756</c:v>
                </c:pt>
                <c:pt idx="16">
                  <c:v>-8.7044335754901745</c:v>
                </c:pt>
                <c:pt idx="17">
                  <c:v>-9.3943807754901734</c:v>
                </c:pt>
                <c:pt idx="18">
                  <c:v>0</c:v>
                </c:pt>
                <c:pt idx="19">
                  <c:v>0</c:v>
                </c:pt>
              </c:numCache>
            </c:numRef>
          </c:val>
          <c:extLst>
            <c:ext xmlns:c16="http://schemas.microsoft.com/office/drawing/2014/chart" uri="{C3380CC4-5D6E-409C-BE32-E72D297353CC}">
              <c16:uniqueId val="{00000004-F160-4C14-96FC-D2E54DF9DD94}"/>
            </c:ext>
          </c:extLst>
        </c:ser>
        <c:ser>
          <c:idx val="5"/>
          <c:order val="5"/>
          <c:tx>
            <c:strRef>
              <c:f>'Markthochlauf Oxyfuel'!$A$34</c:f>
              <c:strCache>
                <c:ptCount val="1"/>
                <c:pt idx="0">
                  <c:v>KSV 6</c:v>
                </c:pt>
              </c:strCache>
            </c:strRef>
          </c:tx>
          <c:spPr>
            <a:solidFill>
              <a:schemeClr val="accent6"/>
            </a:solidFill>
            <a:ln>
              <a:noFill/>
            </a:ln>
            <a:effectLst/>
          </c:spPr>
          <c:invertIfNegative val="0"/>
          <c:cat>
            <c:numLit>
              <c:formatCode>General</c:formatCode>
              <c:ptCount val="20"/>
              <c:pt idx="0">
                <c:v>2021</c:v>
              </c:pt>
              <c:pt idx="1">
                <c:v>2022</c:v>
              </c:pt>
              <c:pt idx="2">
                <c:v>2023</c:v>
              </c:pt>
              <c:pt idx="3">
                <c:v>2024</c:v>
              </c:pt>
              <c:pt idx="4">
                <c:v>2025</c:v>
              </c:pt>
              <c:pt idx="5">
                <c:v>2026</c:v>
              </c:pt>
              <c:pt idx="6">
                <c:v>2027</c:v>
              </c:pt>
              <c:pt idx="7">
                <c:v>2028</c:v>
              </c:pt>
              <c:pt idx="8">
                <c:v>2029</c:v>
              </c:pt>
              <c:pt idx="9">
                <c:v>2030</c:v>
              </c:pt>
              <c:pt idx="10">
                <c:v>2031</c:v>
              </c:pt>
              <c:pt idx="11">
                <c:v>2032</c:v>
              </c:pt>
              <c:pt idx="12">
                <c:v>2033</c:v>
              </c:pt>
              <c:pt idx="13">
                <c:v>2034</c:v>
              </c:pt>
              <c:pt idx="14">
                <c:v>2035</c:v>
              </c:pt>
              <c:pt idx="15">
                <c:v>2036</c:v>
              </c:pt>
              <c:pt idx="16">
                <c:v>2037</c:v>
              </c:pt>
              <c:pt idx="17">
                <c:v>2038</c:v>
              </c:pt>
              <c:pt idx="18">
                <c:v>2039</c:v>
              </c:pt>
              <c:pt idx="19">
                <c:v>2040</c:v>
              </c:pt>
            </c:numLit>
          </c:cat>
          <c:val>
            <c:numRef>
              <c:f>'Markthochlauf Oxyfuel'!$D$34:$W$34</c:f>
              <c:numCache>
                <c:formatCode>General</c:formatCode>
                <c:ptCount val="20"/>
                <c:pt idx="0">
                  <c:v>0</c:v>
                </c:pt>
                <c:pt idx="1">
                  <c:v>0</c:v>
                </c:pt>
                <c:pt idx="2">
                  <c:v>0</c:v>
                </c:pt>
                <c:pt idx="3">
                  <c:v>0</c:v>
                </c:pt>
                <c:pt idx="4">
                  <c:v>0</c:v>
                </c:pt>
                <c:pt idx="5">
                  <c:v>0</c:v>
                </c:pt>
                <c:pt idx="6">
                  <c:v>0</c:v>
                </c:pt>
                <c:pt idx="7">
                  <c:v>0</c:v>
                </c:pt>
                <c:pt idx="8">
                  <c:v>0</c:v>
                </c:pt>
                <c:pt idx="9">
                  <c:v>-3.8748031754901753</c:v>
                </c:pt>
                <c:pt idx="10">
                  <c:v>-4.5647503754901742</c:v>
                </c:pt>
                <c:pt idx="11">
                  <c:v>-5.2546975754901766</c:v>
                </c:pt>
                <c:pt idx="12">
                  <c:v>-5.9446447754901754</c:v>
                </c:pt>
                <c:pt idx="13">
                  <c:v>-6.6345919754901743</c:v>
                </c:pt>
                <c:pt idx="14">
                  <c:v>-7.3245391754901732</c:v>
                </c:pt>
                <c:pt idx="15">
                  <c:v>-8.0144863754901756</c:v>
                </c:pt>
                <c:pt idx="16">
                  <c:v>-8.7044335754901745</c:v>
                </c:pt>
                <c:pt idx="17">
                  <c:v>-9.3943807754901734</c:v>
                </c:pt>
                <c:pt idx="18">
                  <c:v>-10.084327975490176</c:v>
                </c:pt>
                <c:pt idx="19">
                  <c:v>0</c:v>
                </c:pt>
              </c:numCache>
            </c:numRef>
          </c:val>
          <c:extLst>
            <c:ext xmlns:c16="http://schemas.microsoft.com/office/drawing/2014/chart" uri="{C3380CC4-5D6E-409C-BE32-E72D297353CC}">
              <c16:uniqueId val="{00000005-F160-4C14-96FC-D2E54DF9DD94}"/>
            </c:ext>
          </c:extLst>
        </c:ser>
        <c:dLbls>
          <c:showLegendKey val="0"/>
          <c:showVal val="0"/>
          <c:showCatName val="0"/>
          <c:showSerName val="0"/>
          <c:showPercent val="0"/>
          <c:showBubbleSize val="0"/>
        </c:dLbls>
        <c:gapWidth val="150"/>
        <c:overlap val="100"/>
        <c:axId val="1253689087"/>
        <c:axId val="1253692415"/>
        <c:extLst>
          <c:ext xmlns:c15="http://schemas.microsoft.com/office/drawing/2012/chart" uri="{02D57815-91ED-43cb-92C2-25804820EDAC}">
            <c15:filteredBarSeries>
              <c15:ser>
                <c:idx val="6"/>
                <c:order val="6"/>
                <c:tx>
                  <c:strRef>
                    <c:extLst>
                      <c:ext uri="{02D57815-91ED-43cb-92C2-25804820EDAC}">
                        <c15:formulaRef>
                          <c15:sqref>'Markthochlauf Oxyfuel'!$A$7</c15:sqref>
                        </c15:formulaRef>
                      </c:ext>
                    </c:extLst>
                    <c:strCache>
                      <c:ptCount val="1"/>
                      <c:pt idx="0">
                        <c:v>KSV 1 CAPEX</c:v>
                      </c:pt>
                    </c:strCache>
                  </c:strRef>
                </c:tx>
                <c:spPr>
                  <a:pattFill prst="pct75">
                    <a:fgClr>
                      <a:schemeClr val="accent1"/>
                    </a:fgClr>
                    <a:bgClr>
                      <a:schemeClr val="bg1"/>
                    </a:bgClr>
                  </a:pattFill>
                  <a:ln>
                    <a:noFill/>
                  </a:ln>
                  <a:effectLst/>
                </c:spPr>
                <c:invertIfNegative val="0"/>
                <c:dPt>
                  <c:idx val="2"/>
                  <c:invertIfNegative val="0"/>
                  <c:bubble3D val="0"/>
                  <c:extLst>
                    <c:ext xmlns:c16="http://schemas.microsoft.com/office/drawing/2014/chart" uri="{C3380CC4-5D6E-409C-BE32-E72D297353CC}">
                      <c16:uniqueId val="{00000006-F160-4C14-96FC-D2E54DF9DD94}"/>
                    </c:ext>
                  </c:extLst>
                </c:dPt>
                <c:val>
                  <c:numRef>
                    <c:extLst>
                      <c:ext uri="{02D57815-91ED-43cb-92C2-25804820EDAC}">
                        <c15:formulaRef>
                          <c15:sqref>'Markthochlauf Oxyfuel'!$D$7:$W$7</c15:sqref>
                        </c15:formulaRef>
                      </c:ext>
                    </c:extLst>
                    <c:numCache>
                      <c:formatCode>General</c:formatCode>
                      <c:ptCount val="20"/>
                      <c:pt idx="0">
                        <c:v>0</c:v>
                      </c:pt>
                      <c:pt idx="1">
                        <c:v>0</c:v>
                      </c:pt>
                      <c:pt idx="2">
                        <c:v>0</c:v>
                      </c:pt>
                      <c:pt idx="3">
                        <c:v>0</c:v>
                      </c:pt>
                      <c:pt idx="4">
                        <c:v>5.6944999999999997</c:v>
                      </c:pt>
                      <c:pt idx="5">
                        <c:v>5.6944999999999997</c:v>
                      </c:pt>
                      <c:pt idx="6">
                        <c:v>5.6944999999999997</c:v>
                      </c:pt>
                      <c:pt idx="7">
                        <c:v>5.6944999999999997</c:v>
                      </c:pt>
                      <c:pt idx="8">
                        <c:v>5.6944999999999997</c:v>
                      </c:pt>
                      <c:pt idx="9">
                        <c:v>5.6944999999999997</c:v>
                      </c:pt>
                      <c:pt idx="10">
                        <c:v>5.6944999999999997</c:v>
                      </c:pt>
                      <c:pt idx="11">
                        <c:v>5.6944999999999997</c:v>
                      </c:pt>
                      <c:pt idx="12">
                        <c:v>5.6944999999999997</c:v>
                      </c:pt>
                      <c:pt idx="13">
                        <c:v>5.6944999999999997</c:v>
                      </c:pt>
                      <c:pt idx="14">
                        <c:v>0</c:v>
                      </c:pt>
                      <c:pt idx="15">
                        <c:v>0</c:v>
                      </c:pt>
                      <c:pt idx="16">
                        <c:v>0</c:v>
                      </c:pt>
                      <c:pt idx="17">
                        <c:v>0</c:v>
                      </c:pt>
                      <c:pt idx="18">
                        <c:v>0</c:v>
                      </c:pt>
                      <c:pt idx="19">
                        <c:v>0</c:v>
                      </c:pt>
                    </c:numCache>
                  </c:numRef>
                </c:val>
                <c:extLst>
                  <c:ext xmlns:c16="http://schemas.microsoft.com/office/drawing/2014/chart" uri="{C3380CC4-5D6E-409C-BE32-E72D297353CC}">
                    <c16:uniqueId val="{00000007-F160-4C14-96FC-D2E54DF9DD94}"/>
                  </c:ext>
                </c:extLst>
              </c15:ser>
            </c15:filteredBarSeries>
            <c15:filteredBarSeries>
              <c15:ser>
                <c:idx val="7"/>
                <c:order val="7"/>
                <c:tx>
                  <c:strRef>
                    <c:extLst xmlns:c15="http://schemas.microsoft.com/office/drawing/2012/chart">
                      <c:ext xmlns:c15="http://schemas.microsoft.com/office/drawing/2012/chart" uri="{02D57815-91ED-43cb-92C2-25804820EDAC}">
                        <c15:formulaRef>
                          <c15:sqref>'Markthochlauf Oxyfuel'!$A$8</c15:sqref>
                        </c15:formulaRef>
                      </c:ext>
                    </c:extLst>
                    <c:strCache>
                      <c:ptCount val="1"/>
                      <c:pt idx="0">
                        <c:v>KSV 2 CAPEX</c:v>
                      </c:pt>
                    </c:strCache>
                  </c:strRef>
                </c:tx>
                <c:spPr>
                  <a:pattFill prst="pct75">
                    <a:fgClr>
                      <a:schemeClr val="accent2"/>
                    </a:fgClr>
                    <a:bgClr>
                      <a:schemeClr val="bg1"/>
                    </a:bgClr>
                  </a:pattFill>
                  <a:ln>
                    <a:noFill/>
                  </a:ln>
                  <a:effectLst/>
                </c:spPr>
                <c:invertIfNegative val="0"/>
                <c:val>
                  <c:numRef>
                    <c:extLst xmlns:c15="http://schemas.microsoft.com/office/drawing/2012/chart">
                      <c:ext xmlns:c15="http://schemas.microsoft.com/office/drawing/2012/chart" uri="{02D57815-91ED-43cb-92C2-25804820EDAC}">
                        <c15:formulaRef>
                          <c15:sqref>'Markthochlauf Oxyfuel'!$D$8:$W$8</c15:sqref>
                        </c15:formulaRef>
                      </c:ext>
                    </c:extLst>
                    <c:numCache>
                      <c:formatCode>General</c:formatCode>
                      <c:ptCount val="20"/>
                      <c:pt idx="0">
                        <c:v>0</c:v>
                      </c:pt>
                      <c:pt idx="1">
                        <c:v>0</c:v>
                      </c:pt>
                      <c:pt idx="2">
                        <c:v>0</c:v>
                      </c:pt>
                      <c:pt idx="3">
                        <c:v>0</c:v>
                      </c:pt>
                      <c:pt idx="4">
                        <c:v>0</c:v>
                      </c:pt>
                      <c:pt idx="5">
                        <c:v>5.6944999999999997</c:v>
                      </c:pt>
                      <c:pt idx="6">
                        <c:v>5.6944999999999997</c:v>
                      </c:pt>
                      <c:pt idx="7">
                        <c:v>5.6944999999999997</c:v>
                      </c:pt>
                      <c:pt idx="8">
                        <c:v>5.6944999999999997</c:v>
                      </c:pt>
                      <c:pt idx="9">
                        <c:v>5.6944999999999997</c:v>
                      </c:pt>
                      <c:pt idx="10">
                        <c:v>5.6944999999999997</c:v>
                      </c:pt>
                      <c:pt idx="11">
                        <c:v>5.6944999999999997</c:v>
                      </c:pt>
                      <c:pt idx="12">
                        <c:v>5.6944999999999997</c:v>
                      </c:pt>
                      <c:pt idx="13">
                        <c:v>5.6944999999999997</c:v>
                      </c:pt>
                      <c:pt idx="14">
                        <c:v>5.6944999999999997</c:v>
                      </c:pt>
                      <c:pt idx="15">
                        <c:v>0</c:v>
                      </c:pt>
                      <c:pt idx="16">
                        <c:v>0</c:v>
                      </c:pt>
                      <c:pt idx="17">
                        <c:v>0</c:v>
                      </c:pt>
                      <c:pt idx="18">
                        <c:v>0</c:v>
                      </c:pt>
                      <c:pt idx="19">
                        <c:v>0</c:v>
                      </c:pt>
                    </c:numCache>
                  </c:numRef>
                </c:val>
                <c:extLst xmlns:c15="http://schemas.microsoft.com/office/drawing/2012/chart">
                  <c:ext xmlns:c16="http://schemas.microsoft.com/office/drawing/2014/chart" uri="{C3380CC4-5D6E-409C-BE32-E72D297353CC}">
                    <c16:uniqueId val="{00000008-F160-4C14-96FC-D2E54DF9DD94}"/>
                  </c:ext>
                </c:extLst>
              </c15:ser>
            </c15:filteredBarSeries>
            <c15:filteredBarSeries>
              <c15:ser>
                <c:idx val="8"/>
                <c:order val="8"/>
                <c:tx>
                  <c:strRef>
                    <c:extLst xmlns:c15="http://schemas.microsoft.com/office/drawing/2012/chart">
                      <c:ext xmlns:c15="http://schemas.microsoft.com/office/drawing/2012/chart" uri="{02D57815-91ED-43cb-92C2-25804820EDAC}">
                        <c15:formulaRef>
                          <c15:sqref>'Markthochlauf Oxyfuel'!$A$9</c15:sqref>
                        </c15:formulaRef>
                      </c:ext>
                    </c:extLst>
                    <c:strCache>
                      <c:ptCount val="1"/>
                      <c:pt idx="0">
                        <c:v>KSV 3 CAPEX</c:v>
                      </c:pt>
                    </c:strCache>
                  </c:strRef>
                </c:tx>
                <c:spPr>
                  <a:solidFill>
                    <a:schemeClr val="accent3">
                      <a:lumMod val="60000"/>
                    </a:schemeClr>
                  </a:solidFill>
                  <a:ln>
                    <a:noFill/>
                  </a:ln>
                  <a:effectLst/>
                </c:spPr>
                <c:invertIfNegative val="0"/>
                <c:dPt>
                  <c:idx val="4"/>
                  <c:invertIfNegative val="0"/>
                  <c:bubble3D val="0"/>
                  <c:spPr>
                    <a:pattFill prst="pct75">
                      <a:fgClr>
                        <a:schemeClr val="accent3"/>
                      </a:fgClr>
                      <a:bgClr>
                        <a:schemeClr val="bg1"/>
                      </a:bgClr>
                    </a:pattFill>
                    <a:ln>
                      <a:noFill/>
                    </a:ln>
                    <a:effectLst/>
                  </c:spPr>
                  <c:extLst xmlns:c15="http://schemas.microsoft.com/office/drawing/2012/chart">
                    <c:ext xmlns:c16="http://schemas.microsoft.com/office/drawing/2014/chart" uri="{C3380CC4-5D6E-409C-BE32-E72D297353CC}">
                      <c16:uniqueId val="{0000000A-F160-4C14-96FC-D2E54DF9DD94}"/>
                    </c:ext>
                  </c:extLst>
                </c:dPt>
                <c:val>
                  <c:numRef>
                    <c:extLst xmlns:c15="http://schemas.microsoft.com/office/drawing/2012/chart">
                      <c:ext xmlns:c15="http://schemas.microsoft.com/office/drawing/2012/chart" uri="{02D57815-91ED-43cb-92C2-25804820EDAC}">
                        <c15:formulaRef>
                          <c15:sqref>'Markthochlauf Oxyfuel'!$D$9:$W$9</c15:sqref>
                        </c15:formulaRef>
                      </c:ext>
                    </c:extLst>
                    <c:numCache>
                      <c:formatCode>General</c:formatCode>
                      <c:ptCount val="20"/>
                      <c:pt idx="0">
                        <c:v>0</c:v>
                      </c:pt>
                      <c:pt idx="1">
                        <c:v>0</c:v>
                      </c:pt>
                      <c:pt idx="2">
                        <c:v>0</c:v>
                      </c:pt>
                      <c:pt idx="3">
                        <c:v>0</c:v>
                      </c:pt>
                      <c:pt idx="4">
                        <c:v>0</c:v>
                      </c:pt>
                      <c:pt idx="5">
                        <c:v>0</c:v>
                      </c:pt>
                      <c:pt idx="6">
                        <c:v>5.6944999999999997</c:v>
                      </c:pt>
                      <c:pt idx="7">
                        <c:v>5.6944999999999997</c:v>
                      </c:pt>
                      <c:pt idx="8">
                        <c:v>5.6944999999999997</c:v>
                      </c:pt>
                      <c:pt idx="9">
                        <c:v>5.6944999999999997</c:v>
                      </c:pt>
                      <c:pt idx="10">
                        <c:v>5.6944999999999997</c:v>
                      </c:pt>
                      <c:pt idx="11">
                        <c:v>5.6944999999999997</c:v>
                      </c:pt>
                      <c:pt idx="12">
                        <c:v>5.6944999999999997</c:v>
                      </c:pt>
                      <c:pt idx="13">
                        <c:v>5.6944999999999997</c:v>
                      </c:pt>
                      <c:pt idx="14">
                        <c:v>5.6944999999999997</c:v>
                      </c:pt>
                      <c:pt idx="15">
                        <c:v>5.6944999999999997</c:v>
                      </c:pt>
                      <c:pt idx="16">
                        <c:v>0</c:v>
                      </c:pt>
                      <c:pt idx="17">
                        <c:v>0</c:v>
                      </c:pt>
                      <c:pt idx="18">
                        <c:v>0</c:v>
                      </c:pt>
                      <c:pt idx="19">
                        <c:v>0</c:v>
                      </c:pt>
                    </c:numCache>
                  </c:numRef>
                </c:val>
                <c:extLst xmlns:c15="http://schemas.microsoft.com/office/drawing/2012/chart">
                  <c:ext xmlns:c16="http://schemas.microsoft.com/office/drawing/2014/chart" uri="{C3380CC4-5D6E-409C-BE32-E72D297353CC}">
                    <c16:uniqueId val="{0000000B-F160-4C14-96FC-D2E54DF9DD94}"/>
                  </c:ext>
                </c:extLst>
              </c15:ser>
            </c15:filteredBarSeries>
            <c15:filteredBarSeries>
              <c15:ser>
                <c:idx val="9"/>
                <c:order val="9"/>
                <c:tx>
                  <c:strRef>
                    <c:extLst xmlns:c15="http://schemas.microsoft.com/office/drawing/2012/chart">
                      <c:ext xmlns:c15="http://schemas.microsoft.com/office/drawing/2012/chart" uri="{02D57815-91ED-43cb-92C2-25804820EDAC}">
                        <c15:formulaRef>
                          <c15:sqref>'Markthochlauf Oxyfuel'!$A$10</c15:sqref>
                        </c15:formulaRef>
                      </c:ext>
                    </c:extLst>
                    <c:strCache>
                      <c:ptCount val="1"/>
                      <c:pt idx="0">
                        <c:v>KSV 4 CAPEX</c:v>
                      </c:pt>
                    </c:strCache>
                  </c:strRef>
                </c:tx>
                <c:spPr>
                  <a:pattFill prst="pct75">
                    <a:fgClr>
                      <a:schemeClr val="accent4"/>
                    </a:fgClr>
                    <a:bgClr>
                      <a:schemeClr val="bg1"/>
                    </a:bgClr>
                  </a:pattFill>
                  <a:ln>
                    <a:noFill/>
                  </a:ln>
                  <a:effectLst/>
                </c:spPr>
                <c:invertIfNegative val="0"/>
                <c:val>
                  <c:numRef>
                    <c:extLst xmlns:c15="http://schemas.microsoft.com/office/drawing/2012/chart">
                      <c:ext xmlns:c15="http://schemas.microsoft.com/office/drawing/2012/chart" uri="{02D57815-91ED-43cb-92C2-25804820EDAC}">
                        <c15:formulaRef>
                          <c15:sqref>'Markthochlauf Oxyfuel'!$D$10:$W$10</c15:sqref>
                        </c15:formulaRef>
                      </c:ext>
                    </c:extLst>
                    <c:numCache>
                      <c:formatCode>General</c:formatCode>
                      <c:ptCount val="20"/>
                      <c:pt idx="0">
                        <c:v>0</c:v>
                      </c:pt>
                      <c:pt idx="1">
                        <c:v>0</c:v>
                      </c:pt>
                      <c:pt idx="2">
                        <c:v>0</c:v>
                      </c:pt>
                      <c:pt idx="3">
                        <c:v>0</c:v>
                      </c:pt>
                      <c:pt idx="4">
                        <c:v>0</c:v>
                      </c:pt>
                      <c:pt idx="5">
                        <c:v>0</c:v>
                      </c:pt>
                      <c:pt idx="6">
                        <c:v>0</c:v>
                      </c:pt>
                      <c:pt idx="7">
                        <c:v>5.6944999999999997</c:v>
                      </c:pt>
                      <c:pt idx="8">
                        <c:v>5.6944999999999997</c:v>
                      </c:pt>
                      <c:pt idx="9">
                        <c:v>5.6944999999999997</c:v>
                      </c:pt>
                      <c:pt idx="10">
                        <c:v>5.6944999999999997</c:v>
                      </c:pt>
                      <c:pt idx="11">
                        <c:v>5.6944999999999997</c:v>
                      </c:pt>
                      <c:pt idx="12">
                        <c:v>5.6944999999999997</c:v>
                      </c:pt>
                      <c:pt idx="13">
                        <c:v>5.6944999999999997</c:v>
                      </c:pt>
                      <c:pt idx="14">
                        <c:v>5.6944999999999997</c:v>
                      </c:pt>
                      <c:pt idx="15">
                        <c:v>5.6944999999999997</c:v>
                      </c:pt>
                      <c:pt idx="16">
                        <c:v>5.6944999999999997</c:v>
                      </c:pt>
                      <c:pt idx="17">
                        <c:v>0</c:v>
                      </c:pt>
                      <c:pt idx="18">
                        <c:v>0</c:v>
                      </c:pt>
                      <c:pt idx="19">
                        <c:v>0</c:v>
                      </c:pt>
                    </c:numCache>
                  </c:numRef>
                </c:val>
                <c:extLst xmlns:c15="http://schemas.microsoft.com/office/drawing/2012/chart">
                  <c:ext xmlns:c16="http://schemas.microsoft.com/office/drawing/2014/chart" uri="{C3380CC4-5D6E-409C-BE32-E72D297353CC}">
                    <c16:uniqueId val="{0000000C-F160-4C14-96FC-D2E54DF9DD94}"/>
                  </c:ext>
                </c:extLst>
              </c15:ser>
            </c15:filteredBarSeries>
            <c15:filteredBarSeries>
              <c15:ser>
                <c:idx val="10"/>
                <c:order val="10"/>
                <c:tx>
                  <c:strRef>
                    <c:extLst xmlns:c15="http://schemas.microsoft.com/office/drawing/2012/chart">
                      <c:ext xmlns:c15="http://schemas.microsoft.com/office/drawing/2012/chart" uri="{02D57815-91ED-43cb-92C2-25804820EDAC}">
                        <c15:formulaRef>
                          <c15:sqref>'Markthochlauf Oxyfuel'!$A$11</c15:sqref>
                        </c15:formulaRef>
                      </c:ext>
                    </c:extLst>
                    <c:strCache>
                      <c:ptCount val="1"/>
                      <c:pt idx="0">
                        <c:v>KSV 5 CAPEX</c:v>
                      </c:pt>
                    </c:strCache>
                  </c:strRef>
                </c:tx>
                <c:spPr>
                  <a:pattFill prst="pct75">
                    <a:fgClr>
                      <a:schemeClr val="accent5"/>
                    </a:fgClr>
                    <a:bgClr>
                      <a:schemeClr val="bg1"/>
                    </a:bgClr>
                  </a:pattFill>
                  <a:ln>
                    <a:noFill/>
                  </a:ln>
                  <a:effectLst/>
                </c:spPr>
                <c:invertIfNegative val="0"/>
                <c:val>
                  <c:numRef>
                    <c:extLst xmlns:c15="http://schemas.microsoft.com/office/drawing/2012/chart">
                      <c:ext xmlns:c15="http://schemas.microsoft.com/office/drawing/2012/chart" uri="{02D57815-91ED-43cb-92C2-25804820EDAC}">
                        <c15:formulaRef>
                          <c15:sqref>'Markthochlauf Oxyfuel'!$D$11:$W$11</c15:sqref>
                        </c15:formulaRef>
                      </c:ext>
                    </c:extLst>
                    <c:numCache>
                      <c:formatCode>General</c:formatCode>
                      <c:ptCount val="20"/>
                      <c:pt idx="0">
                        <c:v>0</c:v>
                      </c:pt>
                      <c:pt idx="1">
                        <c:v>0</c:v>
                      </c:pt>
                      <c:pt idx="2">
                        <c:v>0</c:v>
                      </c:pt>
                      <c:pt idx="3">
                        <c:v>0</c:v>
                      </c:pt>
                      <c:pt idx="4">
                        <c:v>0</c:v>
                      </c:pt>
                      <c:pt idx="5">
                        <c:v>0</c:v>
                      </c:pt>
                      <c:pt idx="6">
                        <c:v>0</c:v>
                      </c:pt>
                      <c:pt idx="7">
                        <c:v>0</c:v>
                      </c:pt>
                      <c:pt idx="8">
                        <c:v>5.6944999999999997</c:v>
                      </c:pt>
                      <c:pt idx="9">
                        <c:v>5.6944999999999997</c:v>
                      </c:pt>
                      <c:pt idx="10">
                        <c:v>5.6944999999999997</c:v>
                      </c:pt>
                      <c:pt idx="11">
                        <c:v>5.6944999999999997</c:v>
                      </c:pt>
                      <c:pt idx="12">
                        <c:v>5.6944999999999997</c:v>
                      </c:pt>
                      <c:pt idx="13">
                        <c:v>5.6944999999999997</c:v>
                      </c:pt>
                      <c:pt idx="14">
                        <c:v>5.6944999999999997</c:v>
                      </c:pt>
                      <c:pt idx="15">
                        <c:v>5.6944999999999997</c:v>
                      </c:pt>
                      <c:pt idx="16">
                        <c:v>5.6944999999999997</c:v>
                      </c:pt>
                      <c:pt idx="17">
                        <c:v>5.6944999999999997</c:v>
                      </c:pt>
                      <c:pt idx="18">
                        <c:v>0</c:v>
                      </c:pt>
                      <c:pt idx="19">
                        <c:v>0</c:v>
                      </c:pt>
                    </c:numCache>
                  </c:numRef>
                </c:val>
                <c:extLst xmlns:c15="http://schemas.microsoft.com/office/drawing/2012/chart">
                  <c:ext xmlns:c16="http://schemas.microsoft.com/office/drawing/2014/chart" uri="{C3380CC4-5D6E-409C-BE32-E72D297353CC}">
                    <c16:uniqueId val="{0000000D-F160-4C14-96FC-D2E54DF9DD94}"/>
                  </c:ext>
                </c:extLst>
              </c15:ser>
            </c15:filteredBarSeries>
            <c15:filteredBarSeries>
              <c15:ser>
                <c:idx val="11"/>
                <c:order val="11"/>
                <c:tx>
                  <c:strRef>
                    <c:extLst xmlns:c15="http://schemas.microsoft.com/office/drawing/2012/chart">
                      <c:ext xmlns:c15="http://schemas.microsoft.com/office/drawing/2012/chart" uri="{02D57815-91ED-43cb-92C2-25804820EDAC}">
                        <c15:formulaRef>
                          <c15:sqref>'Markthochlauf Oxyfuel'!$A$12</c15:sqref>
                        </c15:formulaRef>
                      </c:ext>
                    </c:extLst>
                    <c:strCache>
                      <c:ptCount val="1"/>
                      <c:pt idx="0">
                        <c:v>KSV 6 CAPEX</c:v>
                      </c:pt>
                    </c:strCache>
                  </c:strRef>
                </c:tx>
                <c:spPr>
                  <a:pattFill prst="pct75">
                    <a:fgClr>
                      <a:schemeClr val="accent6"/>
                    </a:fgClr>
                    <a:bgClr>
                      <a:schemeClr val="bg1"/>
                    </a:bgClr>
                  </a:pattFill>
                  <a:ln>
                    <a:noFill/>
                  </a:ln>
                  <a:effectLst/>
                </c:spPr>
                <c:invertIfNegative val="0"/>
                <c:val>
                  <c:numRef>
                    <c:extLst xmlns:c15="http://schemas.microsoft.com/office/drawing/2012/chart">
                      <c:ext xmlns:c15="http://schemas.microsoft.com/office/drawing/2012/chart" uri="{02D57815-91ED-43cb-92C2-25804820EDAC}">
                        <c15:formulaRef>
                          <c15:sqref>'Markthochlauf Oxyfuel'!$D$12:$W$12</c15:sqref>
                        </c15:formulaRef>
                      </c:ext>
                    </c:extLst>
                    <c:numCache>
                      <c:formatCode>General</c:formatCode>
                      <c:ptCount val="20"/>
                      <c:pt idx="0">
                        <c:v>0</c:v>
                      </c:pt>
                      <c:pt idx="1">
                        <c:v>0</c:v>
                      </c:pt>
                      <c:pt idx="2">
                        <c:v>0</c:v>
                      </c:pt>
                      <c:pt idx="3">
                        <c:v>0</c:v>
                      </c:pt>
                      <c:pt idx="4">
                        <c:v>0</c:v>
                      </c:pt>
                      <c:pt idx="5">
                        <c:v>0</c:v>
                      </c:pt>
                      <c:pt idx="6">
                        <c:v>0</c:v>
                      </c:pt>
                      <c:pt idx="7">
                        <c:v>0</c:v>
                      </c:pt>
                      <c:pt idx="8">
                        <c:v>0</c:v>
                      </c:pt>
                      <c:pt idx="9">
                        <c:v>5.6944999999999997</c:v>
                      </c:pt>
                      <c:pt idx="10">
                        <c:v>5.6944999999999997</c:v>
                      </c:pt>
                      <c:pt idx="11">
                        <c:v>5.6944999999999997</c:v>
                      </c:pt>
                      <c:pt idx="12">
                        <c:v>5.6944999999999997</c:v>
                      </c:pt>
                      <c:pt idx="13">
                        <c:v>5.6944999999999997</c:v>
                      </c:pt>
                      <c:pt idx="14">
                        <c:v>5.6944999999999997</c:v>
                      </c:pt>
                      <c:pt idx="15">
                        <c:v>5.6944999999999997</c:v>
                      </c:pt>
                      <c:pt idx="16">
                        <c:v>5.6944999999999997</c:v>
                      </c:pt>
                      <c:pt idx="17">
                        <c:v>5.6944999999999997</c:v>
                      </c:pt>
                      <c:pt idx="18">
                        <c:v>5.6944999999999997</c:v>
                      </c:pt>
                      <c:pt idx="19">
                        <c:v>0</c:v>
                      </c:pt>
                    </c:numCache>
                  </c:numRef>
                </c:val>
                <c:extLst xmlns:c15="http://schemas.microsoft.com/office/drawing/2012/chart">
                  <c:ext xmlns:c16="http://schemas.microsoft.com/office/drawing/2014/chart" uri="{C3380CC4-5D6E-409C-BE32-E72D297353CC}">
                    <c16:uniqueId val="{0000000E-F160-4C14-96FC-D2E54DF9DD94}"/>
                  </c:ext>
                </c:extLst>
              </c15:ser>
            </c15:filteredBarSeries>
          </c:ext>
        </c:extLst>
      </c:barChart>
      <c:lineChart>
        <c:grouping val="standard"/>
        <c:varyColors val="0"/>
        <c:ser>
          <c:idx val="13"/>
          <c:order val="12"/>
          <c:tx>
            <c:strRef>
              <c:f>'Markthochlauf Oxyfuel'!$A$88</c:f>
              <c:strCache>
                <c:ptCount val="1"/>
                <c:pt idx="0">
                  <c:v>CO2 Emissionen Zementindustrie [Mt CO2]</c:v>
                </c:pt>
              </c:strCache>
            </c:strRef>
          </c:tx>
          <c:spPr>
            <a:ln w="28575" cap="rnd">
              <a:solidFill>
                <a:schemeClr val="accent6"/>
              </a:solidFill>
              <a:round/>
            </a:ln>
            <a:effectLst/>
          </c:spPr>
          <c:marker>
            <c:symbol val="none"/>
          </c:marker>
          <c:val>
            <c:numRef>
              <c:f>'Markthochlauf Oxyfuel'!$D$95:$W$95</c:f>
              <c:numCache>
                <c:formatCode>General</c:formatCode>
                <c:ptCount val="20"/>
                <c:pt idx="0">
                  <c:v>19</c:v>
                </c:pt>
                <c:pt idx="1">
                  <c:v>19</c:v>
                </c:pt>
                <c:pt idx="2">
                  <c:v>19</c:v>
                </c:pt>
                <c:pt idx="3">
                  <c:v>19</c:v>
                </c:pt>
                <c:pt idx="4">
                  <c:v>18.627314275</c:v>
                </c:pt>
                <c:pt idx="5">
                  <c:v>18.25462855</c:v>
                </c:pt>
                <c:pt idx="6">
                  <c:v>17.881942824999999</c:v>
                </c:pt>
                <c:pt idx="7">
                  <c:v>17.509257099999999</c:v>
                </c:pt>
                <c:pt idx="8">
                  <c:v>17.136571374999999</c:v>
                </c:pt>
                <c:pt idx="9">
                  <c:v>16.763885649999999</c:v>
                </c:pt>
                <c:pt idx="10">
                  <c:v>16.763885649999999</c:v>
                </c:pt>
                <c:pt idx="11">
                  <c:v>16.763885649999999</c:v>
                </c:pt>
                <c:pt idx="12">
                  <c:v>16.763885649999999</c:v>
                </c:pt>
                <c:pt idx="13">
                  <c:v>16.763885649999999</c:v>
                </c:pt>
                <c:pt idx="14">
                  <c:v>16.763885649999999</c:v>
                </c:pt>
                <c:pt idx="15">
                  <c:v>16.763885649999999</c:v>
                </c:pt>
                <c:pt idx="16">
                  <c:v>16.763885649999999</c:v>
                </c:pt>
                <c:pt idx="17">
                  <c:v>16.763885649999999</c:v>
                </c:pt>
                <c:pt idx="18">
                  <c:v>16.763885649999999</c:v>
                </c:pt>
                <c:pt idx="19">
                  <c:v>16.763885649999999</c:v>
                </c:pt>
              </c:numCache>
            </c:numRef>
          </c:val>
          <c:smooth val="0"/>
          <c:extLst>
            <c:ext xmlns:c16="http://schemas.microsoft.com/office/drawing/2014/chart" uri="{C3380CC4-5D6E-409C-BE32-E72D297353CC}">
              <c16:uniqueId val="{0000000F-F160-4C14-96FC-D2E54DF9DD94}"/>
            </c:ext>
          </c:extLst>
        </c:ser>
        <c:dLbls>
          <c:showLegendKey val="0"/>
          <c:showVal val="0"/>
          <c:showCatName val="0"/>
          <c:showSerName val="0"/>
          <c:showPercent val="0"/>
          <c:showBubbleSize val="0"/>
        </c:dLbls>
        <c:marker val="1"/>
        <c:smooth val="0"/>
        <c:axId val="1089354447"/>
        <c:axId val="1094529167"/>
      </c:lineChart>
      <c:catAx>
        <c:axId val="125368908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53692415"/>
        <c:crosses val="autoZero"/>
        <c:auto val="1"/>
        <c:lblAlgn val="ctr"/>
        <c:lblOffset val="100"/>
        <c:noMultiLvlLbl val="0"/>
      </c:catAx>
      <c:valAx>
        <c:axId val="1253692415"/>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Mehrkosten Gesamt [Mio. €]</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53689087"/>
        <c:crosses val="autoZero"/>
        <c:crossBetween val="between"/>
      </c:valAx>
      <c:valAx>
        <c:axId val="1094529167"/>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89354447"/>
        <c:crosses val="max"/>
        <c:crossBetween val="between"/>
      </c:valAx>
      <c:catAx>
        <c:axId val="1089354447"/>
        <c:scaling>
          <c:orientation val="minMax"/>
        </c:scaling>
        <c:delete val="1"/>
        <c:axPos val="b"/>
        <c:majorTickMark val="out"/>
        <c:minorTickMark val="none"/>
        <c:tickLblPos val="nextTo"/>
        <c:crossAx val="1094529167"/>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8740157499999996" l="0.7" r="0.7" t="0.78740157499999996"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'Markthochlauf Oxyfuel'!$A$40</c:f>
              <c:strCache>
                <c:ptCount val="1"/>
                <c:pt idx="0">
                  <c:v>KSV 1</c:v>
                </c:pt>
              </c:strCache>
            </c:strRef>
          </c:tx>
          <c:spPr>
            <a:solidFill>
              <a:schemeClr val="accent1"/>
            </a:solidFill>
            <a:ln>
              <a:noFill/>
            </a:ln>
            <a:effectLst/>
          </c:spPr>
          <c:invertIfNegative val="0"/>
          <c:cat>
            <c:numLit>
              <c:formatCode>General</c:formatCode>
              <c:ptCount val="20"/>
              <c:pt idx="0">
                <c:v>2021</c:v>
              </c:pt>
              <c:pt idx="1">
                <c:v>2022</c:v>
              </c:pt>
              <c:pt idx="2">
                <c:v>2023</c:v>
              </c:pt>
              <c:pt idx="3">
                <c:v>2024</c:v>
              </c:pt>
              <c:pt idx="4">
                <c:v>2025</c:v>
              </c:pt>
              <c:pt idx="5">
                <c:v>2026</c:v>
              </c:pt>
              <c:pt idx="6">
                <c:v>2027</c:v>
              </c:pt>
              <c:pt idx="7">
                <c:v>2028</c:v>
              </c:pt>
              <c:pt idx="8">
                <c:v>2029</c:v>
              </c:pt>
              <c:pt idx="9">
                <c:v>2030</c:v>
              </c:pt>
              <c:pt idx="10">
                <c:v>2031</c:v>
              </c:pt>
              <c:pt idx="11">
                <c:v>2032</c:v>
              </c:pt>
              <c:pt idx="12">
                <c:v>2033</c:v>
              </c:pt>
              <c:pt idx="13">
                <c:v>2034</c:v>
              </c:pt>
              <c:pt idx="14">
                <c:v>2035</c:v>
              </c:pt>
              <c:pt idx="15">
                <c:v>2036</c:v>
              </c:pt>
              <c:pt idx="16">
                <c:v>2037</c:v>
              </c:pt>
              <c:pt idx="17">
                <c:v>2038</c:v>
              </c:pt>
              <c:pt idx="18">
                <c:v>2039</c:v>
              </c:pt>
              <c:pt idx="19">
                <c:v>2040</c:v>
              </c:pt>
            </c:numLit>
          </c:cat>
          <c:val>
            <c:numRef>
              <c:f>'Markthochlauf Oxyfuel'!$D$40:$W$40</c:f>
              <c:numCache>
                <c:formatCode>General</c:formatCode>
                <c:ptCount val="20"/>
                <c:pt idx="0">
                  <c:v>0</c:v>
                </c:pt>
                <c:pt idx="1">
                  <c:v>0</c:v>
                </c:pt>
                <c:pt idx="2">
                  <c:v>0</c:v>
                </c:pt>
                <c:pt idx="3">
                  <c:v>0</c:v>
                </c:pt>
                <c:pt idx="4">
                  <c:v>5.6527368245098248</c:v>
                </c:pt>
                <c:pt idx="5">
                  <c:v>4.8861288245098233</c:v>
                </c:pt>
                <c:pt idx="6">
                  <c:v>4.1195208245098254</c:v>
                </c:pt>
                <c:pt idx="7">
                  <c:v>3.3529128245098239</c:v>
                </c:pt>
                <c:pt idx="8">
                  <c:v>2.5863048245098259</c:v>
                </c:pt>
                <c:pt idx="9">
                  <c:v>1.8196968245098244</c:v>
                </c:pt>
                <c:pt idx="10">
                  <c:v>1.1297496245098255</c:v>
                </c:pt>
                <c:pt idx="11">
                  <c:v>0.4398024245098231</c:v>
                </c:pt>
                <c:pt idx="12">
                  <c:v>0</c:v>
                </c:pt>
                <c:pt idx="13">
                  <c:v>0</c:v>
                </c:pt>
                <c:pt idx="14">
                  <c:v>0</c:v>
                </c:pt>
                <c:pt idx="15">
                  <c:v>0</c:v>
                </c:pt>
                <c:pt idx="16">
                  <c:v>0</c:v>
                </c:pt>
                <c:pt idx="17">
                  <c:v>0</c:v>
                </c:pt>
                <c:pt idx="18">
                  <c:v>0</c:v>
                </c:pt>
                <c:pt idx="19">
                  <c:v>0</c:v>
                </c:pt>
              </c:numCache>
            </c:numRef>
          </c:val>
          <c:extLst>
            <c:ext xmlns:c16="http://schemas.microsoft.com/office/drawing/2014/chart" uri="{C3380CC4-5D6E-409C-BE32-E72D297353CC}">
              <c16:uniqueId val="{00000000-64AF-4A9E-B5F0-F113E43FBD9C}"/>
            </c:ext>
          </c:extLst>
        </c:ser>
        <c:ser>
          <c:idx val="1"/>
          <c:order val="1"/>
          <c:tx>
            <c:strRef>
              <c:f>'Markthochlauf Oxyfuel'!$A$41</c:f>
              <c:strCache>
                <c:ptCount val="1"/>
                <c:pt idx="0">
                  <c:v>KSV 2</c:v>
                </c:pt>
              </c:strCache>
            </c:strRef>
          </c:tx>
          <c:spPr>
            <a:solidFill>
              <a:schemeClr val="accent2"/>
            </a:solidFill>
            <a:ln>
              <a:noFill/>
            </a:ln>
            <a:effectLst/>
          </c:spPr>
          <c:invertIfNegative val="0"/>
          <c:cat>
            <c:numLit>
              <c:formatCode>General</c:formatCode>
              <c:ptCount val="20"/>
              <c:pt idx="0">
                <c:v>2021</c:v>
              </c:pt>
              <c:pt idx="1">
                <c:v>2022</c:v>
              </c:pt>
              <c:pt idx="2">
                <c:v>2023</c:v>
              </c:pt>
              <c:pt idx="3">
                <c:v>2024</c:v>
              </c:pt>
              <c:pt idx="4">
                <c:v>2025</c:v>
              </c:pt>
              <c:pt idx="5">
                <c:v>2026</c:v>
              </c:pt>
              <c:pt idx="6">
                <c:v>2027</c:v>
              </c:pt>
              <c:pt idx="7">
                <c:v>2028</c:v>
              </c:pt>
              <c:pt idx="8">
                <c:v>2029</c:v>
              </c:pt>
              <c:pt idx="9">
                <c:v>2030</c:v>
              </c:pt>
              <c:pt idx="10">
                <c:v>2031</c:v>
              </c:pt>
              <c:pt idx="11">
                <c:v>2032</c:v>
              </c:pt>
              <c:pt idx="12">
                <c:v>2033</c:v>
              </c:pt>
              <c:pt idx="13">
                <c:v>2034</c:v>
              </c:pt>
              <c:pt idx="14">
                <c:v>2035</c:v>
              </c:pt>
              <c:pt idx="15">
                <c:v>2036</c:v>
              </c:pt>
              <c:pt idx="16">
                <c:v>2037</c:v>
              </c:pt>
              <c:pt idx="17">
                <c:v>2038</c:v>
              </c:pt>
              <c:pt idx="18">
                <c:v>2039</c:v>
              </c:pt>
              <c:pt idx="19">
                <c:v>2040</c:v>
              </c:pt>
            </c:numLit>
          </c:cat>
          <c:val>
            <c:numRef>
              <c:f>'Markthochlauf Oxyfuel'!$D$41:$W$41</c:f>
              <c:numCache>
                <c:formatCode>General</c:formatCode>
                <c:ptCount val="20"/>
                <c:pt idx="0">
                  <c:v>0</c:v>
                </c:pt>
                <c:pt idx="1">
                  <c:v>0</c:v>
                </c:pt>
                <c:pt idx="2">
                  <c:v>0</c:v>
                </c:pt>
                <c:pt idx="3">
                  <c:v>0</c:v>
                </c:pt>
                <c:pt idx="4">
                  <c:v>0</c:v>
                </c:pt>
                <c:pt idx="5">
                  <c:v>4.8861288245098233</c:v>
                </c:pt>
                <c:pt idx="6">
                  <c:v>4.1195208245098254</c:v>
                </c:pt>
                <c:pt idx="7">
                  <c:v>3.3529128245098239</c:v>
                </c:pt>
                <c:pt idx="8">
                  <c:v>2.5863048245098259</c:v>
                </c:pt>
                <c:pt idx="9">
                  <c:v>1.8196968245098244</c:v>
                </c:pt>
                <c:pt idx="10">
                  <c:v>1.1297496245098255</c:v>
                </c:pt>
                <c:pt idx="11">
                  <c:v>0.4398024245098231</c:v>
                </c:pt>
                <c:pt idx="12">
                  <c:v>0</c:v>
                </c:pt>
                <c:pt idx="13">
                  <c:v>0</c:v>
                </c:pt>
                <c:pt idx="14">
                  <c:v>0</c:v>
                </c:pt>
                <c:pt idx="15">
                  <c:v>0</c:v>
                </c:pt>
                <c:pt idx="16">
                  <c:v>0</c:v>
                </c:pt>
                <c:pt idx="17">
                  <c:v>0</c:v>
                </c:pt>
                <c:pt idx="18">
                  <c:v>0</c:v>
                </c:pt>
                <c:pt idx="19">
                  <c:v>0</c:v>
                </c:pt>
              </c:numCache>
            </c:numRef>
          </c:val>
          <c:extLst>
            <c:ext xmlns:c16="http://schemas.microsoft.com/office/drawing/2014/chart" uri="{C3380CC4-5D6E-409C-BE32-E72D297353CC}">
              <c16:uniqueId val="{00000001-64AF-4A9E-B5F0-F113E43FBD9C}"/>
            </c:ext>
          </c:extLst>
        </c:ser>
        <c:ser>
          <c:idx val="2"/>
          <c:order val="2"/>
          <c:tx>
            <c:strRef>
              <c:f>'Markthochlauf Oxyfuel'!$A$42</c:f>
              <c:strCache>
                <c:ptCount val="1"/>
                <c:pt idx="0">
                  <c:v>KSV 3</c:v>
                </c:pt>
              </c:strCache>
            </c:strRef>
          </c:tx>
          <c:spPr>
            <a:solidFill>
              <a:schemeClr val="accent3"/>
            </a:solidFill>
            <a:ln>
              <a:noFill/>
            </a:ln>
            <a:effectLst/>
          </c:spPr>
          <c:invertIfNegative val="0"/>
          <c:cat>
            <c:numLit>
              <c:formatCode>General</c:formatCode>
              <c:ptCount val="20"/>
              <c:pt idx="0">
                <c:v>2021</c:v>
              </c:pt>
              <c:pt idx="1">
                <c:v>2022</c:v>
              </c:pt>
              <c:pt idx="2">
                <c:v>2023</c:v>
              </c:pt>
              <c:pt idx="3">
                <c:v>2024</c:v>
              </c:pt>
              <c:pt idx="4">
                <c:v>2025</c:v>
              </c:pt>
              <c:pt idx="5">
                <c:v>2026</c:v>
              </c:pt>
              <c:pt idx="6">
                <c:v>2027</c:v>
              </c:pt>
              <c:pt idx="7">
                <c:v>2028</c:v>
              </c:pt>
              <c:pt idx="8">
                <c:v>2029</c:v>
              </c:pt>
              <c:pt idx="9">
                <c:v>2030</c:v>
              </c:pt>
              <c:pt idx="10">
                <c:v>2031</c:v>
              </c:pt>
              <c:pt idx="11">
                <c:v>2032</c:v>
              </c:pt>
              <c:pt idx="12">
                <c:v>2033</c:v>
              </c:pt>
              <c:pt idx="13">
                <c:v>2034</c:v>
              </c:pt>
              <c:pt idx="14">
                <c:v>2035</c:v>
              </c:pt>
              <c:pt idx="15">
                <c:v>2036</c:v>
              </c:pt>
              <c:pt idx="16">
                <c:v>2037</c:v>
              </c:pt>
              <c:pt idx="17">
                <c:v>2038</c:v>
              </c:pt>
              <c:pt idx="18">
                <c:v>2039</c:v>
              </c:pt>
              <c:pt idx="19">
                <c:v>2040</c:v>
              </c:pt>
            </c:numLit>
          </c:cat>
          <c:val>
            <c:numRef>
              <c:f>'Markthochlauf Oxyfuel'!$D$42:$W$42</c:f>
              <c:numCache>
                <c:formatCode>General</c:formatCode>
                <c:ptCount val="20"/>
                <c:pt idx="0">
                  <c:v>0</c:v>
                </c:pt>
                <c:pt idx="1">
                  <c:v>0</c:v>
                </c:pt>
                <c:pt idx="2">
                  <c:v>0</c:v>
                </c:pt>
                <c:pt idx="3">
                  <c:v>0</c:v>
                </c:pt>
                <c:pt idx="4">
                  <c:v>0</c:v>
                </c:pt>
                <c:pt idx="5">
                  <c:v>0</c:v>
                </c:pt>
                <c:pt idx="6">
                  <c:v>4.1195208245098254</c:v>
                </c:pt>
                <c:pt idx="7">
                  <c:v>3.3529128245098239</c:v>
                </c:pt>
                <c:pt idx="8">
                  <c:v>2.5863048245098259</c:v>
                </c:pt>
                <c:pt idx="9">
                  <c:v>1.8196968245098244</c:v>
                </c:pt>
                <c:pt idx="10">
                  <c:v>1.1297496245098255</c:v>
                </c:pt>
                <c:pt idx="11">
                  <c:v>0.4398024245098231</c:v>
                </c:pt>
                <c:pt idx="12">
                  <c:v>0</c:v>
                </c:pt>
                <c:pt idx="13">
                  <c:v>0</c:v>
                </c:pt>
                <c:pt idx="14">
                  <c:v>0</c:v>
                </c:pt>
                <c:pt idx="15">
                  <c:v>0</c:v>
                </c:pt>
                <c:pt idx="16">
                  <c:v>0</c:v>
                </c:pt>
                <c:pt idx="17">
                  <c:v>0</c:v>
                </c:pt>
                <c:pt idx="18">
                  <c:v>0</c:v>
                </c:pt>
                <c:pt idx="19">
                  <c:v>0</c:v>
                </c:pt>
              </c:numCache>
            </c:numRef>
          </c:val>
          <c:extLst>
            <c:ext xmlns:c16="http://schemas.microsoft.com/office/drawing/2014/chart" uri="{C3380CC4-5D6E-409C-BE32-E72D297353CC}">
              <c16:uniqueId val="{00000002-64AF-4A9E-B5F0-F113E43FBD9C}"/>
            </c:ext>
          </c:extLst>
        </c:ser>
        <c:ser>
          <c:idx val="3"/>
          <c:order val="3"/>
          <c:tx>
            <c:strRef>
              <c:f>'Markthochlauf Oxyfuel'!$A$43</c:f>
              <c:strCache>
                <c:ptCount val="1"/>
                <c:pt idx="0">
                  <c:v>KSV 4</c:v>
                </c:pt>
              </c:strCache>
            </c:strRef>
          </c:tx>
          <c:spPr>
            <a:solidFill>
              <a:schemeClr val="accent4"/>
            </a:solidFill>
            <a:ln>
              <a:noFill/>
            </a:ln>
            <a:effectLst/>
          </c:spPr>
          <c:invertIfNegative val="0"/>
          <c:cat>
            <c:numLit>
              <c:formatCode>General</c:formatCode>
              <c:ptCount val="20"/>
              <c:pt idx="0">
                <c:v>2021</c:v>
              </c:pt>
              <c:pt idx="1">
                <c:v>2022</c:v>
              </c:pt>
              <c:pt idx="2">
                <c:v>2023</c:v>
              </c:pt>
              <c:pt idx="3">
                <c:v>2024</c:v>
              </c:pt>
              <c:pt idx="4">
                <c:v>2025</c:v>
              </c:pt>
              <c:pt idx="5">
                <c:v>2026</c:v>
              </c:pt>
              <c:pt idx="6">
                <c:v>2027</c:v>
              </c:pt>
              <c:pt idx="7">
                <c:v>2028</c:v>
              </c:pt>
              <c:pt idx="8">
                <c:v>2029</c:v>
              </c:pt>
              <c:pt idx="9">
                <c:v>2030</c:v>
              </c:pt>
              <c:pt idx="10">
                <c:v>2031</c:v>
              </c:pt>
              <c:pt idx="11">
                <c:v>2032</c:v>
              </c:pt>
              <c:pt idx="12">
                <c:v>2033</c:v>
              </c:pt>
              <c:pt idx="13">
                <c:v>2034</c:v>
              </c:pt>
              <c:pt idx="14">
                <c:v>2035</c:v>
              </c:pt>
              <c:pt idx="15">
                <c:v>2036</c:v>
              </c:pt>
              <c:pt idx="16">
                <c:v>2037</c:v>
              </c:pt>
              <c:pt idx="17">
                <c:v>2038</c:v>
              </c:pt>
              <c:pt idx="18">
                <c:v>2039</c:v>
              </c:pt>
              <c:pt idx="19">
                <c:v>2040</c:v>
              </c:pt>
            </c:numLit>
          </c:cat>
          <c:val>
            <c:numRef>
              <c:f>'Markthochlauf Oxyfuel'!$D$43:$W$43</c:f>
              <c:numCache>
                <c:formatCode>General</c:formatCode>
                <c:ptCount val="20"/>
                <c:pt idx="0">
                  <c:v>0</c:v>
                </c:pt>
                <c:pt idx="1">
                  <c:v>0</c:v>
                </c:pt>
                <c:pt idx="2">
                  <c:v>0</c:v>
                </c:pt>
                <c:pt idx="3">
                  <c:v>0</c:v>
                </c:pt>
                <c:pt idx="4">
                  <c:v>0</c:v>
                </c:pt>
                <c:pt idx="5">
                  <c:v>0</c:v>
                </c:pt>
                <c:pt idx="6">
                  <c:v>0</c:v>
                </c:pt>
                <c:pt idx="7">
                  <c:v>3.3529128245098239</c:v>
                </c:pt>
                <c:pt idx="8">
                  <c:v>2.5863048245098259</c:v>
                </c:pt>
                <c:pt idx="9">
                  <c:v>1.8196968245098244</c:v>
                </c:pt>
                <c:pt idx="10">
                  <c:v>1.1297496245098255</c:v>
                </c:pt>
                <c:pt idx="11">
                  <c:v>0.4398024245098231</c:v>
                </c:pt>
                <c:pt idx="12">
                  <c:v>0</c:v>
                </c:pt>
                <c:pt idx="13">
                  <c:v>0</c:v>
                </c:pt>
                <c:pt idx="14">
                  <c:v>0</c:v>
                </c:pt>
                <c:pt idx="15">
                  <c:v>0</c:v>
                </c:pt>
                <c:pt idx="16">
                  <c:v>0</c:v>
                </c:pt>
                <c:pt idx="17">
                  <c:v>0</c:v>
                </c:pt>
                <c:pt idx="18">
                  <c:v>0</c:v>
                </c:pt>
                <c:pt idx="19">
                  <c:v>0</c:v>
                </c:pt>
              </c:numCache>
            </c:numRef>
          </c:val>
          <c:extLst>
            <c:ext xmlns:c16="http://schemas.microsoft.com/office/drawing/2014/chart" uri="{C3380CC4-5D6E-409C-BE32-E72D297353CC}">
              <c16:uniqueId val="{00000003-64AF-4A9E-B5F0-F113E43FBD9C}"/>
            </c:ext>
          </c:extLst>
        </c:ser>
        <c:ser>
          <c:idx val="4"/>
          <c:order val="4"/>
          <c:tx>
            <c:strRef>
              <c:f>'Markthochlauf Oxyfuel'!$A$44</c:f>
              <c:strCache>
                <c:ptCount val="1"/>
                <c:pt idx="0">
                  <c:v>KSV 5</c:v>
                </c:pt>
              </c:strCache>
            </c:strRef>
          </c:tx>
          <c:spPr>
            <a:solidFill>
              <a:schemeClr val="accent5"/>
            </a:solidFill>
            <a:ln>
              <a:noFill/>
            </a:ln>
            <a:effectLst/>
          </c:spPr>
          <c:invertIfNegative val="0"/>
          <c:cat>
            <c:numLit>
              <c:formatCode>General</c:formatCode>
              <c:ptCount val="20"/>
              <c:pt idx="0">
                <c:v>2021</c:v>
              </c:pt>
              <c:pt idx="1">
                <c:v>2022</c:v>
              </c:pt>
              <c:pt idx="2">
                <c:v>2023</c:v>
              </c:pt>
              <c:pt idx="3">
                <c:v>2024</c:v>
              </c:pt>
              <c:pt idx="4">
                <c:v>2025</c:v>
              </c:pt>
              <c:pt idx="5">
                <c:v>2026</c:v>
              </c:pt>
              <c:pt idx="6">
                <c:v>2027</c:v>
              </c:pt>
              <c:pt idx="7">
                <c:v>2028</c:v>
              </c:pt>
              <c:pt idx="8">
                <c:v>2029</c:v>
              </c:pt>
              <c:pt idx="9">
                <c:v>2030</c:v>
              </c:pt>
              <c:pt idx="10">
                <c:v>2031</c:v>
              </c:pt>
              <c:pt idx="11">
                <c:v>2032</c:v>
              </c:pt>
              <c:pt idx="12">
                <c:v>2033</c:v>
              </c:pt>
              <c:pt idx="13">
                <c:v>2034</c:v>
              </c:pt>
              <c:pt idx="14">
                <c:v>2035</c:v>
              </c:pt>
              <c:pt idx="15">
                <c:v>2036</c:v>
              </c:pt>
              <c:pt idx="16">
                <c:v>2037</c:v>
              </c:pt>
              <c:pt idx="17">
                <c:v>2038</c:v>
              </c:pt>
              <c:pt idx="18">
                <c:v>2039</c:v>
              </c:pt>
              <c:pt idx="19">
                <c:v>2040</c:v>
              </c:pt>
            </c:numLit>
          </c:cat>
          <c:val>
            <c:numRef>
              <c:f>'Markthochlauf Oxyfuel'!$D$44:$W$44</c:f>
              <c:numCache>
                <c:formatCode>General</c:formatCode>
                <c:ptCount val="20"/>
                <c:pt idx="0">
                  <c:v>0</c:v>
                </c:pt>
                <c:pt idx="1">
                  <c:v>0</c:v>
                </c:pt>
                <c:pt idx="2">
                  <c:v>0</c:v>
                </c:pt>
                <c:pt idx="3">
                  <c:v>0</c:v>
                </c:pt>
                <c:pt idx="4">
                  <c:v>0</c:v>
                </c:pt>
                <c:pt idx="5">
                  <c:v>0</c:v>
                </c:pt>
                <c:pt idx="6">
                  <c:v>0</c:v>
                </c:pt>
                <c:pt idx="7">
                  <c:v>0</c:v>
                </c:pt>
                <c:pt idx="8">
                  <c:v>2.5863048245098259</c:v>
                </c:pt>
                <c:pt idx="9">
                  <c:v>1.8196968245098244</c:v>
                </c:pt>
                <c:pt idx="10">
                  <c:v>1.1297496245098255</c:v>
                </c:pt>
                <c:pt idx="11">
                  <c:v>0.4398024245098231</c:v>
                </c:pt>
                <c:pt idx="12">
                  <c:v>0</c:v>
                </c:pt>
                <c:pt idx="13">
                  <c:v>0</c:v>
                </c:pt>
                <c:pt idx="14">
                  <c:v>0</c:v>
                </c:pt>
                <c:pt idx="15">
                  <c:v>0</c:v>
                </c:pt>
                <c:pt idx="16">
                  <c:v>0</c:v>
                </c:pt>
                <c:pt idx="17">
                  <c:v>0</c:v>
                </c:pt>
                <c:pt idx="18">
                  <c:v>0</c:v>
                </c:pt>
                <c:pt idx="19">
                  <c:v>0</c:v>
                </c:pt>
              </c:numCache>
            </c:numRef>
          </c:val>
          <c:extLst>
            <c:ext xmlns:c16="http://schemas.microsoft.com/office/drawing/2014/chart" uri="{C3380CC4-5D6E-409C-BE32-E72D297353CC}">
              <c16:uniqueId val="{00000004-64AF-4A9E-B5F0-F113E43FBD9C}"/>
            </c:ext>
          </c:extLst>
        </c:ser>
        <c:ser>
          <c:idx val="5"/>
          <c:order val="5"/>
          <c:tx>
            <c:strRef>
              <c:f>'Markthochlauf Oxyfuel'!$A$45</c:f>
              <c:strCache>
                <c:ptCount val="1"/>
                <c:pt idx="0">
                  <c:v>KSV 6</c:v>
                </c:pt>
              </c:strCache>
            </c:strRef>
          </c:tx>
          <c:spPr>
            <a:solidFill>
              <a:schemeClr val="accent6"/>
            </a:solidFill>
            <a:ln>
              <a:noFill/>
            </a:ln>
            <a:effectLst/>
          </c:spPr>
          <c:invertIfNegative val="0"/>
          <c:cat>
            <c:numLit>
              <c:formatCode>General</c:formatCode>
              <c:ptCount val="20"/>
              <c:pt idx="0">
                <c:v>2021</c:v>
              </c:pt>
              <c:pt idx="1">
                <c:v>2022</c:v>
              </c:pt>
              <c:pt idx="2">
                <c:v>2023</c:v>
              </c:pt>
              <c:pt idx="3">
                <c:v>2024</c:v>
              </c:pt>
              <c:pt idx="4">
                <c:v>2025</c:v>
              </c:pt>
              <c:pt idx="5">
                <c:v>2026</c:v>
              </c:pt>
              <c:pt idx="6">
                <c:v>2027</c:v>
              </c:pt>
              <c:pt idx="7">
                <c:v>2028</c:v>
              </c:pt>
              <c:pt idx="8">
                <c:v>2029</c:v>
              </c:pt>
              <c:pt idx="9">
                <c:v>2030</c:v>
              </c:pt>
              <c:pt idx="10">
                <c:v>2031</c:v>
              </c:pt>
              <c:pt idx="11">
                <c:v>2032</c:v>
              </c:pt>
              <c:pt idx="12">
                <c:v>2033</c:v>
              </c:pt>
              <c:pt idx="13">
                <c:v>2034</c:v>
              </c:pt>
              <c:pt idx="14">
                <c:v>2035</c:v>
              </c:pt>
              <c:pt idx="15">
                <c:v>2036</c:v>
              </c:pt>
              <c:pt idx="16">
                <c:v>2037</c:v>
              </c:pt>
              <c:pt idx="17">
                <c:v>2038</c:v>
              </c:pt>
              <c:pt idx="18">
                <c:v>2039</c:v>
              </c:pt>
              <c:pt idx="19">
                <c:v>2040</c:v>
              </c:pt>
            </c:numLit>
          </c:cat>
          <c:val>
            <c:numRef>
              <c:f>'Markthochlauf Oxyfuel'!$D$45:$W$45</c:f>
              <c:numCache>
                <c:formatCode>General</c:formatCode>
                <c:ptCount val="20"/>
                <c:pt idx="0">
                  <c:v>0</c:v>
                </c:pt>
                <c:pt idx="1">
                  <c:v>0</c:v>
                </c:pt>
                <c:pt idx="2">
                  <c:v>0</c:v>
                </c:pt>
                <c:pt idx="3">
                  <c:v>0</c:v>
                </c:pt>
                <c:pt idx="4">
                  <c:v>0</c:v>
                </c:pt>
                <c:pt idx="5">
                  <c:v>0</c:v>
                </c:pt>
                <c:pt idx="6">
                  <c:v>0</c:v>
                </c:pt>
                <c:pt idx="7">
                  <c:v>0</c:v>
                </c:pt>
                <c:pt idx="8">
                  <c:v>0</c:v>
                </c:pt>
                <c:pt idx="9">
                  <c:v>1.8196968245098244</c:v>
                </c:pt>
                <c:pt idx="10">
                  <c:v>1.1297496245098255</c:v>
                </c:pt>
                <c:pt idx="11">
                  <c:v>0.4398024245098231</c:v>
                </c:pt>
                <c:pt idx="12">
                  <c:v>0</c:v>
                </c:pt>
                <c:pt idx="13">
                  <c:v>0</c:v>
                </c:pt>
                <c:pt idx="14">
                  <c:v>0</c:v>
                </c:pt>
                <c:pt idx="15">
                  <c:v>0</c:v>
                </c:pt>
                <c:pt idx="16">
                  <c:v>0</c:v>
                </c:pt>
                <c:pt idx="17">
                  <c:v>0</c:v>
                </c:pt>
                <c:pt idx="18">
                  <c:v>0</c:v>
                </c:pt>
                <c:pt idx="19">
                  <c:v>0</c:v>
                </c:pt>
              </c:numCache>
            </c:numRef>
          </c:val>
          <c:extLst>
            <c:ext xmlns:c16="http://schemas.microsoft.com/office/drawing/2014/chart" uri="{C3380CC4-5D6E-409C-BE32-E72D297353CC}">
              <c16:uniqueId val="{00000005-64AF-4A9E-B5F0-F113E43FBD9C}"/>
            </c:ext>
          </c:extLst>
        </c:ser>
        <c:dLbls>
          <c:showLegendKey val="0"/>
          <c:showVal val="0"/>
          <c:showCatName val="0"/>
          <c:showSerName val="0"/>
          <c:showPercent val="0"/>
          <c:showBubbleSize val="0"/>
        </c:dLbls>
        <c:gapWidth val="150"/>
        <c:overlap val="100"/>
        <c:axId val="1253689087"/>
        <c:axId val="1253692415"/>
        <c:extLst>
          <c:ext xmlns:c15="http://schemas.microsoft.com/office/drawing/2012/chart" uri="{02D57815-91ED-43cb-92C2-25804820EDAC}">
            <c15:filteredBarSeries>
              <c15:ser>
                <c:idx val="6"/>
                <c:order val="6"/>
                <c:tx>
                  <c:strRef>
                    <c:extLst>
                      <c:ext uri="{02D57815-91ED-43cb-92C2-25804820EDAC}">
                        <c15:formulaRef>
                          <c15:sqref>'Markthochlauf Oxyfuel'!$A$7</c15:sqref>
                        </c15:formulaRef>
                      </c:ext>
                    </c:extLst>
                    <c:strCache>
                      <c:ptCount val="1"/>
                      <c:pt idx="0">
                        <c:v>KSV 1 CAPEX</c:v>
                      </c:pt>
                    </c:strCache>
                  </c:strRef>
                </c:tx>
                <c:spPr>
                  <a:pattFill prst="pct75">
                    <a:fgClr>
                      <a:schemeClr val="accent1"/>
                    </a:fgClr>
                    <a:bgClr>
                      <a:schemeClr val="bg1"/>
                    </a:bgClr>
                  </a:pattFill>
                  <a:ln>
                    <a:noFill/>
                  </a:ln>
                  <a:effectLst/>
                </c:spPr>
                <c:invertIfNegative val="0"/>
                <c:dPt>
                  <c:idx val="2"/>
                  <c:invertIfNegative val="0"/>
                  <c:bubble3D val="0"/>
                  <c:extLst>
                    <c:ext xmlns:c16="http://schemas.microsoft.com/office/drawing/2014/chart" uri="{C3380CC4-5D6E-409C-BE32-E72D297353CC}">
                      <c16:uniqueId val="{00000007-64AF-4A9E-B5F0-F113E43FBD9C}"/>
                    </c:ext>
                  </c:extLst>
                </c:dPt>
                <c:val>
                  <c:numRef>
                    <c:extLst>
                      <c:ext uri="{02D57815-91ED-43cb-92C2-25804820EDAC}">
                        <c15:formulaRef>
                          <c15:sqref>'Markthochlauf Oxyfuel'!$D$7:$W$7</c15:sqref>
                        </c15:formulaRef>
                      </c:ext>
                    </c:extLst>
                    <c:numCache>
                      <c:formatCode>General</c:formatCode>
                      <c:ptCount val="20"/>
                      <c:pt idx="0">
                        <c:v>0</c:v>
                      </c:pt>
                      <c:pt idx="1">
                        <c:v>0</c:v>
                      </c:pt>
                      <c:pt idx="2">
                        <c:v>0</c:v>
                      </c:pt>
                      <c:pt idx="3">
                        <c:v>0</c:v>
                      </c:pt>
                      <c:pt idx="4">
                        <c:v>5.6944999999999997</c:v>
                      </c:pt>
                      <c:pt idx="5">
                        <c:v>5.6944999999999997</c:v>
                      </c:pt>
                      <c:pt idx="6">
                        <c:v>5.6944999999999997</c:v>
                      </c:pt>
                      <c:pt idx="7">
                        <c:v>5.6944999999999997</c:v>
                      </c:pt>
                      <c:pt idx="8">
                        <c:v>5.6944999999999997</c:v>
                      </c:pt>
                      <c:pt idx="9">
                        <c:v>5.6944999999999997</c:v>
                      </c:pt>
                      <c:pt idx="10">
                        <c:v>5.6944999999999997</c:v>
                      </c:pt>
                      <c:pt idx="11">
                        <c:v>5.6944999999999997</c:v>
                      </c:pt>
                      <c:pt idx="12">
                        <c:v>5.6944999999999997</c:v>
                      </c:pt>
                      <c:pt idx="13">
                        <c:v>5.6944999999999997</c:v>
                      </c:pt>
                      <c:pt idx="14">
                        <c:v>0</c:v>
                      </c:pt>
                      <c:pt idx="15">
                        <c:v>0</c:v>
                      </c:pt>
                      <c:pt idx="16">
                        <c:v>0</c:v>
                      </c:pt>
                      <c:pt idx="17">
                        <c:v>0</c:v>
                      </c:pt>
                      <c:pt idx="18">
                        <c:v>0</c:v>
                      </c:pt>
                      <c:pt idx="19">
                        <c:v>0</c:v>
                      </c:pt>
                    </c:numCache>
                  </c:numRef>
                </c:val>
                <c:extLst>
                  <c:ext xmlns:c16="http://schemas.microsoft.com/office/drawing/2014/chart" uri="{C3380CC4-5D6E-409C-BE32-E72D297353CC}">
                    <c16:uniqueId val="{00000008-64AF-4A9E-B5F0-F113E43FBD9C}"/>
                  </c:ext>
                </c:extLst>
              </c15:ser>
            </c15:filteredBarSeries>
            <c15:filteredBarSeries>
              <c15:ser>
                <c:idx val="7"/>
                <c:order val="7"/>
                <c:tx>
                  <c:strRef>
                    <c:extLst xmlns:c15="http://schemas.microsoft.com/office/drawing/2012/chart">
                      <c:ext xmlns:c15="http://schemas.microsoft.com/office/drawing/2012/chart" uri="{02D57815-91ED-43cb-92C2-25804820EDAC}">
                        <c15:formulaRef>
                          <c15:sqref>'Markthochlauf Oxyfuel'!$A$8</c15:sqref>
                        </c15:formulaRef>
                      </c:ext>
                    </c:extLst>
                    <c:strCache>
                      <c:ptCount val="1"/>
                      <c:pt idx="0">
                        <c:v>KSV 2 CAPEX</c:v>
                      </c:pt>
                    </c:strCache>
                  </c:strRef>
                </c:tx>
                <c:spPr>
                  <a:pattFill prst="pct75">
                    <a:fgClr>
                      <a:schemeClr val="accent2"/>
                    </a:fgClr>
                    <a:bgClr>
                      <a:schemeClr val="bg1"/>
                    </a:bgClr>
                  </a:pattFill>
                  <a:ln>
                    <a:noFill/>
                  </a:ln>
                  <a:effectLst/>
                </c:spPr>
                <c:invertIfNegative val="0"/>
                <c:val>
                  <c:numRef>
                    <c:extLst xmlns:c15="http://schemas.microsoft.com/office/drawing/2012/chart">
                      <c:ext xmlns:c15="http://schemas.microsoft.com/office/drawing/2012/chart" uri="{02D57815-91ED-43cb-92C2-25804820EDAC}">
                        <c15:formulaRef>
                          <c15:sqref>'Markthochlauf Oxyfuel'!$D$8:$W$8</c15:sqref>
                        </c15:formulaRef>
                      </c:ext>
                    </c:extLst>
                    <c:numCache>
                      <c:formatCode>General</c:formatCode>
                      <c:ptCount val="20"/>
                      <c:pt idx="0">
                        <c:v>0</c:v>
                      </c:pt>
                      <c:pt idx="1">
                        <c:v>0</c:v>
                      </c:pt>
                      <c:pt idx="2">
                        <c:v>0</c:v>
                      </c:pt>
                      <c:pt idx="3">
                        <c:v>0</c:v>
                      </c:pt>
                      <c:pt idx="4">
                        <c:v>0</c:v>
                      </c:pt>
                      <c:pt idx="5">
                        <c:v>5.6944999999999997</c:v>
                      </c:pt>
                      <c:pt idx="6">
                        <c:v>5.6944999999999997</c:v>
                      </c:pt>
                      <c:pt idx="7">
                        <c:v>5.6944999999999997</c:v>
                      </c:pt>
                      <c:pt idx="8">
                        <c:v>5.6944999999999997</c:v>
                      </c:pt>
                      <c:pt idx="9">
                        <c:v>5.6944999999999997</c:v>
                      </c:pt>
                      <c:pt idx="10">
                        <c:v>5.6944999999999997</c:v>
                      </c:pt>
                      <c:pt idx="11">
                        <c:v>5.6944999999999997</c:v>
                      </c:pt>
                      <c:pt idx="12">
                        <c:v>5.6944999999999997</c:v>
                      </c:pt>
                      <c:pt idx="13">
                        <c:v>5.6944999999999997</c:v>
                      </c:pt>
                      <c:pt idx="14">
                        <c:v>5.6944999999999997</c:v>
                      </c:pt>
                      <c:pt idx="15">
                        <c:v>0</c:v>
                      </c:pt>
                      <c:pt idx="16">
                        <c:v>0</c:v>
                      </c:pt>
                      <c:pt idx="17">
                        <c:v>0</c:v>
                      </c:pt>
                      <c:pt idx="18">
                        <c:v>0</c:v>
                      </c:pt>
                      <c:pt idx="19">
                        <c:v>0</c:v>
                      </c:pt>
                    </c:numCache>
                  </c:numRef>
                </c:val>
                <c:extLst xmlns:c15="http://schemas.microsoft.com/office/drawing/2012/chart">
                  <c:ext xmlns:c16="http://schemas.microsoft.com/office/drawing/2014/chart" uri="{C3380CC4-5D6E-409C-BE32-E72D297353CC}">
                    <c16:uniqueId val="{00000009-64AF-4A9E-B5F0-F113E43FBD9C}"/>
                  </c:ext>
                </c:extLst>
              </c15:ser>
            </c15:filteredBarSeries>
            <c15:filteredBarSeries>
              <c15:ser>
                <c:idx val="8"/>
                <c:order val="8"/>
                <c:tx>
                  <c:strRef>
                    <c:extLst xmlns:c15="http://schemas.microsoft.com/office/drawing/2012/chart">
                      <c:ext xmlns:c15="http://schemas.microsoft.com/office/drawing/2012/chart" uri="{02D57815-91ED-43cb-92C2-25804820EDAC}">
                        <c15:formulaRef>
                          <c15:sqref>'Markthochlauf Oxyfuel'!$A$9</c15:sqref>
                        </c15:formulaRef>
                      </c:ext>
                    </c:extLst>
                    <c:strCache>
                      <c:ptCount val="1"/>
                      <c:pt idx="0">
                        <c:v>KSV 3 CAPEX</c:v>
                      </c:pt>
                    </c:strCache>
                  </c:strRef>
                </c:tx>
                <c:spPr>
                  <a:solidFill>
                    <a:schemeClr val="accent3">
                      <a:lumMod val="60000"/>
                    </a:schemeClr>
                  </a:solidFill>
                  <a:ln>
                    <a:noFill/>
                  </a:ln>
                  <a:effectLst/>
                </c:spPr>
                <c:invertIfNegative val="0"/>
                <c:dPt>
                  <c:idx val="4"/>
                  <c:invertIfNegative val="0"/>
                  <c:bubble3D val="0"/>
                  <c:spPr>
                    <a:pattFill prst="pct75">
                      <a:fgClr>
                        <a:schemeClr val="accent3"/>
                      </a:fgClr>
                      <a:bgClr>
                        <a:schemeClr val="bg1"/>
                      </a:bgClr>
                    </a:pattFill>
                    <a:ln>
                      <a:noFill/>
                    </a:ln>
                    <a:effectLst/>
                  </c:spPr>
                  <c:extLst xmlns:c15="http://schemas.microsoft.com/office/drawing/2012/chart">
                    <c:ext xmlns:c16="http://schemas.microsoft.com/office/drawing/2014/chart" uri="{C3380CC4-5D6E-409C-BE32-E72D297353CC}">
                      <c16:uniqueId val="{0000000B-64AF-4A9E-B5F0-F113E43FBD9C}"/>
                    </c:ext>
                  </c:extLst>
                </c:dPt>
                <c:val>
                  <c:numRef>
                    <c:extLst xmlns:c15="http://schemas.microsoft.com/office/drawing/2012/chart">
                      <c:ext xmlns:c15="http://schemas.microsoft.com/office/drawing/2012/chart" uri="{02D57815-91ED-43cb-92C2-25804820EDAC}">
                        <c15:formulaRef>
                          <c15:sqref>'Markthochlauf Oxyfuel'!$D$9:$W$9</c15:sqref>
                        </c15:formulaRef>
                      </c:ext>
                    </c:extLst>
                    <c:numCache>
                      <c:formatCode>General</c:formatCode>
                      <c:ptCount val="20"/>
                      <c:pt idx="0">
                        <c:v>0</c:v>
                      </c:pt>
                      <c:pt idx="1">
                        <c:v>0</c:v>
                      </c:pt>
                      <c:pt idx="2">
                        <c:v>0</c:v>
                      </c:pt>
                      <c:pt idx="3">
                        <c:v>0</c:v>
                      </c:pt>
                      <c:pt idx="4">
                        <c:v>0</c:v>
                      </c:pt>
                      <c:pt idx="5">
                        <c:v>0</c:v>
                      </c:pt>
                      <c:pt idx="6">
                        <c:v>5.6944999999999997</c:v>
                      </c:pt>
                      <c:pt idx="7">
                        <c:v>5.6944999999999997</c:v>
                      </c:pt>
                      <c:pt idx="8">
                        <c:v>5.6944999999999997</c:v>
                      </c:pt>
                      <c:pt idx="9">
                        <c:v>5.6944999999999997</c:v>
                      </c:pt>
                      <c:pt idx="10">
                        <c:v>5.6944999999999997</c:v>
                      </c:pt>
                      <c:pt idx="11">
                        <c:v>5.6944999999999997</c:v>
                      </c:pt>
                      <c:pt idx="12">
                        <c:v>5.6944999999999997</c:v>
                      </c:pt>
                      <c:pt idx="13">
                        <c:v>5.6944999999999997</c:v>
                      </c:pt>
                      <c:pt idx="14">
                        <c:v>5.6944999999999997</c:v>
                      </c:pt>
                      <c:pt idx="15">
                        <c:v>5.6944999999999997</c:v>
                      </c:pt>
                      <c:pt idx="16">
                        <c:v>0</c:v>
                      </c:pt>
                      <c:pt idx="17">
                        <c:v>0</c:v>
                      </c:pt>
                      <c:pt idx="18">
                        <c:v>0</c:v>
                      </c:pt>
                      <c:pt idx="19">
                        <c:v>0</c:v>
                      </c:pt>
                    </c:numCache>
                  </c:numRef>
                </c:val>
                <c:extLst xmlns:c15="http://schemas.microsoft.com/office/drawing/2012/chart">
                  <c:ext xmlns:c16="http://schemas.microsoft.com/office/drawing/2014/chart" uri="{C3380CC4-5D6E-409C-BE32-E72D297353CC}">
                    <c16:uniqueId val="{0000000C-64AF-4A9E-B5F0-F113E43FBD9C}"/>
                  </c:ext>
                </c:extLst>
              </c15:ser>
            </c15:filteredBarSeries>
            <c15:filteredBarSeries>
              <c15:ser>
                <c:idx val="9"/>
                <c:order val="9"/>
                <c:tx>
                  <c:strRef>
                    <c:extLst xmlns:c15="http://schemas.microsoft.com/office/drawing/2012/chart">
                      <c:ext xmlns:c15="http://schemas.microsoft.com/office/drawing/2012/chart" uri="{02D57815-91ED-43cb-92C2-25804820EDAC}">
                        <c15:formulaRef>
                          <c15:sqref>'Markthochlauf Oxyfuel'!$A$10</c15:sqref>
                        </c15:formulaRef>
                      </c:ext>
                    </c:extLst>
                    <c:strCache>
                      <c:ptCount val="1"/>
                      <c:pt idx="0">
                        <c:v>KSV 4 CAPEX</c:v>
                      </c:pt>
                    </c:strCache>
                  </c:strRef>
                </c:tx>
                <c:spPr>
                  <a:pattFill prst="pct75">
                    <a:fgClr>
                      <a:schemeClr val="accent4"/>
                    </a:fgClr>
                    <a:bgClr>
                      <a:schemeClr val="bg1"/>
                    </a:bgClr>
                  </a:pattFill>
                  <a:ln>
                    <a:noFill/>
                  </a:ln>
                  <a:effectLst/>
                </c:spPr>
                <c:invertIfNegative val="0"/>
                <c:val>
                  <c:numRef>
                    <c:extLst xmlns:c15="http://schemas.microsoft.com/office/drawing/2012/chart">
                      <c:ext xmlns:c15="http://schemas.microsoft.com/office/drawing/2012/chart" uri="{02D57815-91ED-43cb-92C2-25804820EDAC}">
                        <c15:formulaRef>
                          <c15:sqref>'Markthochlauf Oxyfuel'!$D$10:$W$10</c15:sqref>
                        </c15:formulaRef>
                      </c:ext>
                    </c:extLst>
                    <c:numCache>
                      <c:formatCode>General</c:formatCode>
                      <c:ptCount val="20"/>
                      <c:pt idx="0">
                        <c:v>0</c:v>
                      </c:pt>
                      <c:pt idx="1">
                        <c:v>0</c:v>
                      </c:pt>
                      <c:pt idx="2">
                        <c:v>0</c:v>
                      </c:pt>
                      <c:pt idx="3">
                        <c:v>0</c:v>
                      </c:pt>
                      <c:pt idx="4">
                        <c:v>0</c:v>
                      </c:pt>
                      <c:pt idx="5">
                        <c:v>0</c:v>
                      </c:pt>
                      <c:pt idx="6">
                        <c:v>0</c:v>
                      </c:pt>
                      <c:pt idx="7">
                        <c:v>5.6944999999999997</c:v>
                      </c:pt>
                      <c:pt idx="8">
                        <c:v>5.6944999999999997</c:v>
                      </c:pt>
                      <c:pt idx="9">
                        <c:v>5.6944999999999997</c:v>
                      </c:pt>
                      <c:pt idx="10">
                        <c:v>5.6944999999999997</c:v>
                      </c:pt>
                      <c:pt idx="11">
                        <c:v>5.6944999999999997</c:v>
                      </c:pt>
                      <c:pt idx="12">
                        <c:v>5.6944999999999997</c:v>
                      </c:pt>
                      <c:pt idx="13">
                        <c:v>5.6944999999999997</c:v>
                      </c:pt>
                      <c:pt idx="14">
                        <c:v>5.6944999999999997</c:v>
                      </c:pt>
                      <c:pt idx="15">
                        <c:v>5.6944999999999997</c:v>
                      </c:pt>
                      <c:pt idx="16">
                        <c:v>5.6944999999999997</c:v>
                      </c:pt>
                      <c:pt idx="17">
                        <c:v>0</c:v>
                      </c:pt>
                      <c:pt idx="18">
                        <c:v>0</c:v>
                      </c:pt>
                      <c:pt idx="19">
                        <c:v>0</c:v>
                      </c:pt>
                    </c:numCache>
                  </c:numRef>
                </c:val>
                <c:extLst xmlns:c15="http://schemas.microsoft.com/office/drawing/2012/chart">
                  <c:ext xmlns:c16="http://schemas.microsoft.com/office/drawing/2014/chart" uri="{C3380CC4-5D6E-409C-BE32-E72D297353CC}">
                    <c16:uniqueId val="{0000000D-64AF-4A9E-B5F0-F113E43FBD9C}"/>
                  </c:ext>
                </c:extLst>
              </c15:ser>
            </c15:filteredBarSeries>
            <c15:filteredBarSeries>
              <c15:ser>
                <c:idx val="10"/>
                <c:order val="10"/>
                <c:tx>
                  <c:strRef>
                    <c:extLst xmlns:c15="http://schemas.microsoft.com/office/drawing/2012/chart">
                      <c:ext xmlns:c15="http://schemas.microsoft.com/office/drawing/2012/chart" uri="{02D57815-91ED-43cb-92C2-25804820EDAC}">
                        <c15:formulaRef>
                          <c15:sqref>'Markthochlauf Oxyfuel'!$A$11</c15:sqref>
                        </c15:formulaRef>
                      </c:ext>
                    </c:extLst>
                    <c:strCache>
                      <c:ptCount val="1"/>
                      <c:pt idx="0">
                        <c:v>KSV 5 CAPEX</c:v>
                      </c:pt>
                    </c:strCache>
                  </c:strRef>
                </c:tx>
                <c:spPr>
                  <a:pattFill prst="pct75">
                    <a:fgClr>
                      <a:schemeClr val="accent5"/>
                    </a:fgClr>
                    <a:bgClr>
                      <a:schemeClr val="bg1"/>
                    </a:bgClr>
                  </a:pattFill>
                  <a:ln>
                    <a:noFill/>
                  </a:ln>
                  <a:effectLst/>
                </c:spPr>
                <c:invertIfNegative val="0"/>
                <c:val>
                  <c:numRef>
                    <c:extLst xmlns:c15="http://schemas.microsoft.com/office/drawing/2012/chart">
                      <c:ext xmlns:c15="http://schemas.microsoft.com/office/drawing/2012/chart" uri="{02D57815-91ED-43cb-92C2-25804820EDAC}">
                        <c15:formulaRef>
                          <c15:sqref>'Markthochlauf Oxyfuel'!$D$11:$W$11</c15:sqref>
                        </c15:formulaRef>
                      </c:ext>
                    </c:extLst>
                    <c:numCache>
                      <c:formatCode>General</c:formatCode>
                      <c:ptCount val="20"/>
                      <c:pt idx="0">
                        <c:v>0</c:v>
                      </c:pt>
                      <c:pt idx="1">
                        <c:v>0</c:v>
                      </c:pt>
                      <c:pt idx="2">
                        <c:v>0</c:v>
                      </c:pt>
                      <c:pt idx="3">
                        <c:v>0</c:v>
                      </c:pt>
                      <c:pt idx="4">
                        <c:v>0</c:v>
                      </c:pt>
                      <c:pt idx="5">
                        <c:v>0</c:v>
                      </c:pt>
                      <c:pt idx="6">
                        <c:v>0</c:v>
                      </c:pt>
                      <c:pt idx="7">
                        <c:v>0</c:v>
                      </c:pt>
                      <c:pt idx="8">
                        <c:v>5.6944999999999997</c:v>
                      </c:pt>
                      <c:pt idx="9">
                        <c:v>5.6944999999999997</c:v>
                      </c:pt>
                      <c:pt idx="10">
                        <c:v>5.6944999999999997</c:v>
                      </c:pt>
                      <c:pt idx="11">
                        <c:v>5.6944999999999997</c:v>
                      </c:pt>
                      <c:pt idx="12">
                        <c:v>5.6944999999999997</c:v>
                      </c:pt>
                      <c:pt idx="13">
                        <c:v>5.6944999999999997</c:v>
                      </c:pt>
                      <c:pt idx="14">
                        <c:v>5.6944999999999997</c:v>
                      </c:pt>
                      <c:pt idx="15">
                        <c:v>5.6944999999999997</c:v>
                      </c:pt>
                      <c:pt idx="16">
                        <c:v>5.6944999999999997</c:v>
                      </c:pt>
                      <c:pt idx="17">
                        <c:v>5.6944999999999997</c:v>
                      </c:pt>
                      <c:pt idx="18">
                        <c:v>0</c:v>
                      </c:pt>
                      <c:pt idx="19">
                        <c:v>0</c:v>
                      </c:pt>
                    </c:numCache>
                  </c:numRef>
                </c:val>
                <c:extLst xmlns:c15="http://schemas.microsoft.com/office/drawing/2012/chart">
                  <c:ext xmlns:c16="http://schemas.microsoft.com/office/drawing/2014/chart" uri="{C3380CC4-5D6E-409C-BE32-E72D297353CC}">
                    <c16:uniqueId val="{0000000E-64AF-4A9E-B5F0-F113E43FBD9C}"/>
                  </c:ext>
                </c:extLst>
              </c15:ser>
            </c15:filteredBarSeries>
            <c15:filteredBarSeries>
              <c15:ser>
                <c:idx val="11"/>
                <c:order val="11"/>
                <c:tx>
                  <c:strRef>
                    <c:extLst xmlns:c15="http://schemas.microsoft.com/office/drawing/2012/chart">
                      <c:ext xmlns:c15="http://schemas.microsoft.com/office/drawing/2012/chart" uri="{02D57815-91ED-43cb-92C2-25804820EDAC}">
                        <c15:formulaRef>
                          <c15:sqref>'Markthochlauf Oxyfuel'!$A$12</c15:sqref>
                        </c15:formulaRef>
                      </c:ext>
                    </c:extLst>
                    <c:strCache>
                      <c:ptCount val="1"/>
                      <c:pt idx="0">
                        <c:v>KSV 6 CAPEX</c:v>
                      </c:pt>
                    </c:strCache>
                  </c:strRef>
                </c:tx>
                <c:spPr>
                  <a:pattFill prst="pct75">
                    <a:fgClr>
                      <a:schemeClr val="accent6"/>
                    </a:fgClr>
                    <a:bgClr>
                      <a:schemeClr val="bg1"/>
                    </a:bgClr>
                  </a:pattFill>
                  <a:ln>
                    <a:noFill/>
                  </a:ln>
                  <a:effectLst/>
                </c:spPr>
                <c:invertIfNegative val="0"/>
                <c:val>
                  <c:numRef>
                    <c:extLst xmlns:c15="http://schemas.microsoft.com/office/drawing/2012/chart">
                      <c:ext xmlns:c15="http://schemas.microsoft.com/office/drawing/2012/chart" uri="{02D57815-91ED-43cb-92C2-25804820EDAC}">
                        <c15:formulaRef>
                          <c15:sqref>'Markthochlauf Oxyfuel'!$D$12:$W$12</c15:sqref>
                        </c15:formulaRef>
                      </c:ext>
                    </c:extLst>
                    <c:numCache>
                      <c:formatCode>General</c:formatCode>
                      <c:ptCount val="20"/>
                      <c:pt idx="0">
                        <c:v>0</c:v>
                      </c:pt>
                      <c:pt idx="1">
                        <c:v>0</c:v>
                      </c:pt>
                      <c:pt idx="2">
                        <c:v>0</c:v>
                      </c:pt>
                      <c:pt idx="3">
                        <c:v>0</c:v>
                      </c:pt>
                      <c:pt idx="4">
                        <c:v>0</c:v>
                      </c:pt>
                      <c:pt idx="5">
                        <c:v>0</c:v>
                      </c:pt>
                      <c:pt idx="6">
                        <c:v>0</c:v>
                      </c:pt>
                      <c:pt idx="7">
                        <c:v>0</c:v>
                      </c:pt>
                      <c:pt idx="8">
                        <c:v>0</c:v>
                      </c:pt>
                      <c:pt idx="9">
                        <c:v>5.6944999999999997</c:v>
                      </c:pt>
                      <c:pt idx="10">
                        <c:v>5.6944999999999997</c:v>
                      </c:pt>
                      <c:pt idx="11">
                        <c:v>5.6944999999999997</c:v>
                      </c:pt>
                      <c:pt idx="12">
                        <c:v>5.6944999999999997</c:v>
                      </c:pt>
                      <c:pt idx="13">
                        <c:v>5.6944999999999997</c:v>
                      </c:pt>
                      <c:pt idx="14">
                        <c:v>5.6944999999999997</c:v>
                      </c:pt>
                      <c:pt idx="15">
                        <c:v>5.6944999999999997</c:v>
                      </c:pt>
                      <c:pt idx="16">
                        <c:v>5.6944999999999997</c:v>
                      </c:pt>
                      <c:pt idx="17">
                        <c:v>5.6944999999999997</c:v>
                      </c:pt>
                      <c:pt idx="18">
                        <c:v>5.6944999999999997</c:v>
                      </c:pt>
                      <c:pt idx="19">
                        <c:v>0</c:v>
                      </c:pt>
                    </c:numCache>
                  </c:numRef>
                </c:val>
                <c:extLst xmlns:c15="http://schemas.microsoft.com/office/drawing/2012/chart">
                  <c:ext xmlns:c16="http://schemas.microsoft.com/office/drawing/2014/chart" uri="{C3380CC4-5D6E-409C-BE32-E72D297353CC}">
                    <c16:uniqueId val="{0000000F-64AF-4A9E-B5F0-F113E43FBD9C}"/>
                  </c:ext>
                </c:extLst>
              </c15:ser>
            </c15:filteredBarSeries>
          </c:ext>
        </c:extLst>
      </c:barChart>
      <c:lineChart>
        <c:grouping val="standard"/>
        <c:varyColors val="0"/>
        <c:ser>
          <c:idx val="13"/>
          <c:order val="12"/>
          <c:tx>
            <c:strRef>
              <c:f>'Markthochlauf Oxyfuel'!$A$88</c:f>
              <c:strCache>
                <c:ptCount val="1"/>
                <c:pt idx="0">
                  <c:v>CO2 Emissionen Zementindustrie [Mt CO2]</c:v>
                </c:pt>
              </c:strCache>
            </c:strRef>
          </c:tx>
          <c:spPr>
            <a:ln w="28575" cap="rnd">
              <a:solidFill>
                <a:schemeClr val="accent6"/>
              </a:solidFill>
              <a:round/>
            </a:ln>
            <a:effectLst/>
          </c:spPr>
          <c:marker>
            <c:symbol val="none"/>
          </c:marker>
          <c:val>
            <c:numRef>
              <c:f>'Markthochlauf Oxyfuel'!$D$95:$W$95</c:f>
              <c:numCache>
                <c:formatCode>General</c:formatCode>
                <c:ptCount val="20"/>
                <c:pt idx="0">
                  <c:v>19</c:v>
                </c:pt>
                <c:pt idx="1">
                  <c:v>19</c:v>
                </c:pt>
                <c:pt idx="2">
                  <c:v>19</c:v>
                </c:pt>
                <c:pt idx="3">
                  <c:v>19</c:v>
                </c:pt>
                <c:pt idx="4">
                  <c:v>18.627314275</c:v>
                </c:pt>
                <c:pt idx="5">
                  <c:v>18.25462855</c:v>
                </c:pt>
                <c:pt idx="6">
                  <c:v>17.881942824999999</c:v>
                </c:pt>
                <c:pt idx="7">
                  <c:v>17.509257099999999</c:v>
                </c:pt>
                <c:pt idx="8">
                  <c:v>17.136571374999999</c:v>
                </c:pt>
                <c:pt idx="9">
                  <c:v>16.763885649999999</c:v>
                </c:pt>
                <c:pt idx="10">
                  <c:v>16.763885649999999</c:v>
                </c:pt>
                <c:pt idx="11">
                  <c:v>16.763885649999999</c:v>
                </c:pt>
                <c:pt idx="12">
                  <c:v>16.763885649999999</c:v>
                </c:pt>
                <c:pt idx="13">
                  <c:v>16.763885649999999</c:v>
                </c:pt>
                <c:pt idx="14">
                  <c:v>16.763885649999999</c:v>
                </c:pt>
                <c:pt idx="15">
                  <c:v>16.763885649999999</c:v>
                </c:pt>
                <c:pt idx="16">
                  <c:v>16.763885649999999</c:v>
                </c:pt>
                <c:pt idx="17">
                  <c:v>16.763885649999999</c:v>
                </c:pt>
                <c:pt idx="18">
                  <c:v>16.763885649999999</c:v>
                </c:pt>
                <c:pt idx="19">
                  <c:v>16.763885649999999</c:v>
                </c:pt>
              </c:numCache>
            </c:numRef>
          </c:val>
          <c:smooth val="0"/>
          <c:extLst>
            <c:ext xmlns:c16="http://schemas.microsoft.com/office/drawing/2014/chart" uri="{C3380CC4-5D6E-409C-BE32-E72D297353CC}">
              <c16:uniqueId val="{00000006-64AF-4A9E-B5F0-F113E43FBD9C}"/>
            </c:ext>
          </c:extLst>
        </c:ser>
        <c:dLbls>
          <c:showLegendKey val="0"/>
          <c:showVal val="0"/>
          <c:showCatName val="0"/>
          <c:showSerName val="0"/>
          <c:showPercent val="0"/>
          <c:showBubbleSize val="0"/>
        </c:dLbls>
        <c:marker val="1"/>
        <c:smooth val="0"/>
        <c:axId val="1089354447"/>
        <c:axId val="1094529167"/>
      </c:lineChart>
      <c:catAx>
        <c:axId val="125368908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53692415"/>
        <c:crosses val="autoZero"/>
        <c:auto val="1"/>
        <c:lblAlgn val="ctr"/>
        <c:lblOffset val="100"/>
        <c:noMultiLvlLbl val="0"/>
      </c:catAx>
      <c:valAx>
        <c:axId val="1253692415"/>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Mehrkosten Gesamt [Mio. €]</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53689087"/>
        <c:crosses val="autoZero"/>
        <c:crossBetween val="between"/>
      </c:valAx>
      <c:valAx>
        <c:axId val="1094529167"/>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89354447"/>
        <c:crosses val="max"/>
        <c:crossBetween val="between"/>
      </c:valAx>
      <c:catAx>
        <c:axId val="1089354447"/>
        <c:scaling>
          <c:orientation val="minMax"/>
        </c:scaling>
        <c:delete val="1"/>
        <c:axPos val="b"/>
        <c:majorTickMark val="out"/>
        <c:minorTickMark val="none"/>
        <c:tickLblPos val="nextTo"/>
        <c:crossAx val="1094529167"/>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8740157499999996" l="0.7" r="0.7" t="0.78740157499999996"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tx>
            <c:strRef>
              <c:f>'Markthochlauf Oxyfuel'!$A$124</c:f>
              <c:strCache>
                <c:ptCount val="1"/>
                <c:pt idx="0">
                  <c:v>CCUS-basierte Produktion [€/t]</c:v>
                </c:pt>
              </c:strCache>
            </c:strRef>
          </c:tx>
          <c:spPr>
            <a:ln w="19050" cap="rnd">
              <a:solidFill>
                <a:srgbClr val="72AFC8"/>
              </a:solidFill>
              <a:round/>
            </a:ln>
            <a:effectLst/>
          </c:spPr>
          <c:marker>
            <c:symbol val="none"/>
          </c:marker>
          <c:xVal>
            <c:numRef>
              <c:f>'Markthochlauf Oxyfuel'!$D$2:$AB$2</c:f>
              <c:numCache>
                <c:formatCode>General</c:formatCode>
                <c:ptCount val="25"/>
                <c:pt idx="0">
                  <c:v>2021</c:v>
                </c:pt>
                <c:pt idx="1">
                  <c:v>2022</c:v>
                </c:pt>
                <c:pt idx="2">
                  <c:v>2023</c:v>
                </c:pt>
                <c:pt idx="3">
                  <c:v>2024</c:v>
                </c:pt>
                <c:pt idx="4">
                  <c:v>2025</c:v>
                </c:pt>
                <c:pt idx="5">
                  <c:v>2026</c:v>
                </c:pt>
                <c:pt idx="6">
                  <c:v>2027</c:v>
                </c:pt>
                <c:pt idx="7">
                  <c:v>2028</c:v>
                </c:pt>
                <c:pt idx="8">
                  <c:v>2029</c:v>
                </c:pt>
                <c:pt idx="9">
                  <c:v>2030</c:v>
                </c:pt>
                <c:pt idx="10">
                  <c:v>2031</c:v>
                </c:pt>
                <c:pt idx="11">
                  <c:v>2032</c:v>
                </c:pt>
                <c:pt idx="12">
                  <c:v>2033</c:v>
                </c:pt>
                <c:pt idx="13">
                  <c:v>2034</c:v>
                </c:pt>
                <c:pt idx="14">
                  <c:v>2035</c:v>
                </c:pt>
                <c:pt idx="15">
                  <c:v>2036</c:v>
                </c:pt>
                <c:pt idx="16">
                  <c:v>2037</c:v>
                </c:pt>
                <c:pt idx="17">
                  <c:v>2038</c:v>
                </c:pt>
                <c:pt idx="18">
                  <c:v>2039</c:v>
                </c:pt>
                <c:pt idx="19">
                  <c:v>2040</c:v>
                </c:pt>
                <c:pt idx="20">
                  <c:v>2041</c:v>
                </c:pt>
                <c:pt idx="21">
                  <c:v>2042</c:v>
                </c:pt>
                <c:pt idx="22">
                  <c:v>2043</c:v>
                </c:pt>
                <c:pt idx="23">
                  <c:v>2044</c:v>
                </c:pt>
                <c:pt idx="24">
                  <c:v>2045</c:v>
                </c:pt>
              </c:numCache>
            </c:numRef>
          </c:xVal>
          <c:yVal>
            <c:numRef>
              <c:f>'Markthochlauf Oxyfuel'!$D$129:$AB$129</c:f>
              <c:numCache>
                <c:formatCode>#,##0.00</c:formatCode>
                <c:ptCount val="25"/>
                <c:pt idx="0">
                  <c:v>97.018114697781684</c:v>
                </c:pt>
                <c:pt idx="1">
                  <c:v>95.705509068152054</c:v>
                </c:pt>
                <c:pt idx="2">
                  <c:v>94.39290343852241</c:v>
                </c:pt>
                <c:pt idx="3">
                  <c:v>93.080297808892794</c:v>
                </c:pt>
                <c:pt idx="4">
                  <c:v>91.767692179263165</c:v>
                </c:pt>
                <c:pt idx="5">
                  <c:v>94.533234697781666</c:v>
                </c:pt>
                <c:pt idx="6">
                  <c:v>97.595369808892784</c:v>
                </c:pt>
                <c:pt idx="7">
                  <c:v>100.95409751259649</c:v>
                </c:pt>
                <c:pt idx="8">
                  <c:v>104.6094178088928</c:v>
                </c:pt>
                <c:pt idx="9">
                  <c:v>108.56133069778167</c:v>
                </c:pt>
                <c:pt idx="10">
                  <c:v>112.85211896444835</c:v>
                </c:pt>
                <c:pt idx="11">
                  <c:v>117.40984056444834</c:v>
                </c:pt>
                <c:pt idx="12">
                  <c:v>122.23449549778168</c:v>
                </c:pt>
                <c:pt idx="13">
                  <c:v>127.32608376444834</c:v>
                </c:pt>
                <c:pt idx="14">
                  <c:v>132.68460536444834</c:v>
                </c:pt>
                <c:pt idx="15">
                  <c:v>132.83792696444834</c:v>
                </c:pt>
                <c:pt idx="16">
                  <c:v>132.99124856444834</c:v>
                </c:pt>
                <c:pt idx="17">
                  <c:v>133.14457016444834</c:v>
                </c:pt>
                <c:pt idx="18">
                  <c:v>133.29789176444834</c:v>
                </c:pt>
                <c:pt idx="19">
                  <c:v>133.45121336444834</c:v>
                </c:pt>
                <c:pt idx="20">
                  <c:v>133.60453496444833</c:v>
                </c:pt>
                <c:pt idx="21">
                  <c:v>133.75785656444833</c:v>
                </c:pt>
                <c:pt idx="22">
                  <c:v>133.91117816444836</c:v>
                </c:pt>
                <c:pt idx="23">
                  <c:v>134.06449976444836</c:v>
                </c:pt>
                <c:pt idx="24">
                  <c:v>134.21782136444835</c:v>
                </c:pt>
              </c:numCache>
            </c:numRef>
          </c:yVal>
          <c:smooth val="0"/>
          <c:extLst>
            <c:ext xmlns:c16="http://schemas.microsoft.com/office/drawing/2014/chart" uri="{C3380CC4-5D6E-409C-BE32-E72D297353CC}">
              <c16:uniqueId val="{00000000-BD64-44E7-8BA0-129C26A70AAE}"/>
            </c:ext>
          </c:extLst>
        </c:ser>
        <c:ser>
          <c:idx val="1"/>
          <c:order val="2"/>
          <c:tx>
            <c:strRef>
              <c:f>'Markthochlauf Oxyfuel'!$A$117</c:f>
              <c:strCache>
                <c:ptCount val="1"/>
                <c:pt idx="0">
                  <c:v>Konventionelle Produktion [€/t]</c:v>
                </c:pt>
              </c:strCache>
            </c:strRef>
          </c:tx>
          <c:spPr>
            <a:ln w="19050" cap="rnd">
              <a:solidFill>
                <a:srgbClr val="374569"/>
              </a:solidFill>
              <a:round/>
            </a:ln>
            <a:effectLst/>
          </c:spPr>
          <c:marker>
            <c:symbol val="none"/>
          </c:marker>
          <c:xVal>
            <c:numRef>
              <c:f>'Markthochlauf Oxyfuel'!$D$2:$AB$2</c:f>
              <c:numCache>
                <c:formatCode>General</c:formatCode>
                <c:ptCount val="25"/>
                <c:pt idx="0">
                  <c:v>2021</c:v>
                </c:pt>
                <c:pt idx="1">
                  <c:v>2022</c:v>
                </c:pt>
                <c:pt idx="2">
                  <c:v>2023</c:v>
                </c:pt>
                <c:pt idx="3">
                  <c:v>2024</c:v>
                </c:pt>
                <c:pt idx="4">
                  <c:v>2025</c:v>
                </c:pt>
                <c:pt idx="5">
                  <c:v>2026</c:v>
                </c:pt>
                <c:pt idx="6">
                  <c:v>2027</c:v>
                </c:pt>
                <c:pt idx="7">
                  <c:v>2028</c:v>
                </c:pt>
                <c:pt idx="8">
                  <c:v>2029</c:v>
                </c:pt>
                <c:pt idx="9">
                  <c:v>2030</c:v>
                </c:pt>
                <c:pt idx="10">
                  <c:v>2031</c:v>
                </c:pt>
                <c:pt idx="11">
                  <c:v>2032</c:v>
                </c:pt>
                <c:pt idx="12">
                  <c:v>2033</c:v>
                </c:pt>
                <c:pt idx="13">
                  <c:v>2034</c:v>
                </c:pt>
                <c:pt idx="14">
                  <c:v>2035</c:v>
                </c:pt>
                <c:pt idx="15">
                  <c:v>2036</c:v>
                </c:pt>
                <c:pt idx="16">
                  <c:v>2037</c:v>
                </c:pt>
                <c:pt idx="17">
                  <c:v>2038</c:v>
                </c:pt>
                <c:pt idx="18">
                  <c:v>2039</c:v>
                </c:pt>
                <c:pt idx="19">
                  <c:v>2040</c:v>
                </c:pt>
                <c:pt idx="20">
                  <c:v>2041</c:v>
                </c:pt>
                <c:pt idx="21">
                  <c:v>2042</c:v>
                </c:pt>
                <c:pt idx="22">
                  <c:v>2043</c:v>
                </c:pt>
                <c:pt idx="23">
                  <c:v>2044</c:v>
                </c:pt>
                <c:pt idx="24">
                  <c:v>2045</c:v>
                </c:pt>
              </c:numCache>
            </c:numRef>
          </c:xVal>
          <c:yVal>
            <c:numRef>
              <c:f>'Markthochlauf Oxyfuel'!$D$122:$AB$122</c:f>
              <c:numCache>
                <c:formatCode>#,##0.00</c:formatCode>
                <c:ptCount val="25"/>
                <c:pt idx="0">
                  <c:v>73.551368232108857</c:v>
                </c:pt>
                <c:pt idx="1">
                  <c:v>73.771978602479223</c:v>
                </c:pt>
                <c:pt idx="2">
                  <c:v>73.992588972849589</c:v>
                </c:pt>
                <c:pt idx="3">
                  <c:v>74.213199343219955</c:v>
                </c:pt>
                <c:pt idx="4">
                  <c:v>74.433809713590335</c:v>
                </c:pt>
                <c:pt idx="5">
                  <c:v>78.732568232108846</c:v>
                </c:pt>
                <c:pt idx="6">
                  <c:v>83.327919343219961</c:v>
                </c:pt>
                <c:pt idx="7">
                  <c:v>88.219863046923663</c:v>
                </c:pt>
                <c:pt idx="8">
                  <c:v>93.408399343219955</c:v>
                </c:pt>
                <c:pt idx="9">
                  <c:v>98.893528232108849</c:v>
                </c:pt>
                <c:pt idx="10">
                  <c:v>104.56421089877551</c:v>
                </c:pt>
                <c:pt idx="11">
                  <c:v>110.50182689877552</c:v>
                </c:pt>
                <c:pt idx="12">
                  <c:v>116.70637623210885</c:v>
                </c:pt>
                <c:pt idx="13">
                  <c:v>123.17785889877553</c:v>
                </c:pt>
                <c:pt idx="14">
                  <c:v>129.9162748987755</c:v>
                </c:pt>
                <c:pt idx="15">
                  <c:v>131.44949089877551</c:v>
                </c:pt>
                <c:pt idx="16">
                  <c:v>132.98270689877552</c:v>
                </c:pt>
                <c:pt idx="17">
                  <c:v>134.5159228987755</c:v>
                </c:pt>
                <c:pt idx="18">
                  <c:v>136.04913889877551</c:v>
                </c:pt>
                <c:pt idx="19">
                  <c:v>137.58235489877552</c:v>
                </c:pt>
                <c:pt idx="20">
                  <c:v>139.1155708987755</c:v>
                </c:pt>
                <c:pt idx="21">
                  <c:v>140.64878689877551</c:v>
                </c:pt>
                <c:pt idx="22">
                  <c:v>142.18200289877552</c:v>
                </c:pt>
                <c:pt idx="23">
                  <c:v>143.7152188987755</c:v>
                </c:pt>
                <c:pt idx="24">
                  <c:v>145.24843489877551</c:v>
                </c:pt>
              </c:numCache>
            </c:numRef>
          </c:yVal>
          <c:smooth val="0"/>
          <c:extLst>
            <c:ext xmlns:c16="http://schemas.microsoft.com/office/drawing/2014/chart" uri="{C3380CC4-5D6E-409C-BE32-E72D297353CC}">
              <c16:uniqueId val="{00000007-BD64-44E7-8BA0-129C26A70AAE}"/>
            </c:ext>
          </c:extLst>
        </c:ser>
        <c:dLbls>
          <c:showLegendKey val="0"/>
          <c:showVal val="0"/>
          <c:showCatName val="0"/>
          <c:showSerName val="0"/>
          <c:showPercent val="0"/>
          <c:showBubbleSize val="0"/>
        </c:dLbls>
        <c:axId val="1944548912"/>
        <c:axId val="1944549744"/>
      </c:scatterChart>
      <c:scatterChart>
        <c:scatterStyle val="lineMarker"/>
        <c:varyColors val="0"/>
        <c:ser>
          <c:idx val="4"/>
          <c:order val="1"/>
          <c:tx>
            <c:strRef>
              <c:f>'Markthochlauf Oxyfuel'!$A$134</c:f>
              <c:strCache>
                <c:ptCount val="1"/>
                <c:pt idx="0">
                  <c:v>Premium für CCUS-basierten Klinker [%]</c:v>
                </c:pt>
              </c:strCache>
            </c:strRef>
          </c:tx>
          <c:spPr>
            <a:ln w="19050" cap="rnd">
              <a:solidFill>
                <a:srgbClr val="72AFC8"/>
              </a:solidFill>
              <a:prstDash val="dash"/>
              <a:round/>
            </a:ln>
            <a:effectLst/>
          </c:spPr>
          <c:marker>
            <c:symbol val="none"/>
          </c:marker>
          <c:xVal>
            <c:numRef>
              <c:f>'Markthochlauf Oxyfuel'!$D$2:$AB$2</c:f>
              <c:numCache>
                <c:formatCode>General</c:formatCode>
                <c:ptCount val="25"/>
                <c:pt idx="0">
                  <c:v>2021</c:v>
                </c:pt>
                <c:pt idx="1">
                  <c:v>2022</c:v>
                </c:pt>
                <c:pt idx="2">
                  <c:v>2023</c:v>
                </c:pt>
                <c:pt idx="3">
                  <c:v>2024</c:v>
                </c:pt>
                <c:pt idx="4">
                  <c:v>2025</c:v>
                </c:pt>
                <c:pt idx="5">
                  <c:v>2026</c:v>
                </c:pt>
                <c:pt idx="6">
                  <c:v>2027</c:v>
                </c:pt>
                <c:pt idx="7">
                  <c:v>2028</c:v>
                </c:pt>
                <c:pt idx="8">
                  <c:v>2029</c:v>
                </c:pt>
                <c:pt idx="9">
                  <c:v>2030</c:v>
                </c:pt>
                <c:pt idx="10">
                  <c:v>2031</c:v>
                </c:pt>
                <c:pt idx="11">
                  <c:v>2032</c:v>
                </c:pt>
                <c:pt idx="12">
                  <c:v>2033</c:v>
                </c:pt>
                <c:pt idx="13">
                  <c:v>2034</c:v>
                </c:pt>
                <c:pt idx="14">
                  <c:v>2035</c:v>
                </c:pt>
                <c:pt idx="15">
                  <c:v>2036</c:v>
                </c:pt>
                <c:pt idx="16">
                  <c:v>2037</c:v>
                </c:pt>
                <c:pt idx="17">
                  <c:v>2038</c:v>
                </c:pt>
                <c:pt idx="18">
                  <c:v>2039</c:v>
                </c:pt>
                <c:pt idx="19">
                  <c:v>2040</c:v>
                </c:pt>
                <c:pt idx="20">
                  <c:v>2041</c:v>
                </c:pt>
                <c:pt idx="21">
                  <c:v>2042</c:v>
                </c:pt>
                <c:pt idx="22">
                  <c:v>2043</c:v>
                </c:pt>
                <c:pt idx="23">
                  <c:v>2044</c:v>
                </c:pt>
                <c:pt idx="24">
                  <c:v>2045</c:v>
                </c:pt>
              </c:numCache>
            </c:numRef>
          </c:xVal>
          <c:yVal>
            <c:numRef>
              <c:f>'Markthochlauf Oxyfuel'!$D$134:$AB$134</c:f>
              <c:numCache>
                <c:formatCode>0%</c:formatCode>
                <c:ptCount val="25"/>
                <c:pt idx="0">
                  <c:v>0.31905248032392708</c:v>
                </c:pt>
                <c:pt idx="1">
                  <c:v>0.29731519855068278</c:v>
                </c:pt>
                <c:pt idx="2">
                  <c:v>0.27570753705020912</c:v>
                </c:pt>
                <c:pt idx="3">
                  <c:v>0.25422833987275767</c:v>
                </c:pt>
                <c:pt idx="4">
                  <c:v>0.23287646477280821</c:v>
                </c:pt>
                <c:pt idx="5">
                  <c:v>0.20068780709771086</c:v>
                </c:pt>
                <c:pt idx="6">
                  <c:v>0.17122052942311591</c:v>
                </c:pt>
                <c:pt idx="7">
                  <c:v>0.14434656806143031</c:v>
                </c:pt>
                <c:pt idx="8">
                  <c:v>0.11991446748290598</c:v>
                </c:pt>
                <c:pt idx="9">
                  <c:v>9.7759708228651002E-2</c:v>
                </c:pt>
                <c:pt idx="10">
                  <c:v>7.9261422186755984E-2</c:v>
                </c:pt>
                <c:pt idx="11">
                  <c:v>6.2514927214740681E-2</c:v>
                </c:pt>
                <c:pt idx="12">
                  <c:v>4.7367756965380814E-2</c:v>
                </c:pt>
                <c:pt idx="13">
                  <c:v>3.3676708645193475E-2</c:v>
                </c:pt>
                <c:pt idx="14">
                  <c:v>2.1308573293298289E-2</c:v>
                </c:pt>
                <c:pt idx="15">
                  <c:v>1.0562506223337289E-2</c:v>
                </c:pt>
                <c:pt idx="16">
                  <c:v>6.4231401751541759E-5</c:v>
                </c:pt>
                <c:pt idx="17">
                  <c:v>-1.0194724199001456E-2</c:v>
                </c:pt>
                <c:pt idx="18">
                  <c:v>-2.022245165678101E-2</c:v>
                </c:pt>
                <c:pt idx="19">
                  <c:v>-3.0026681381973872E-2</c:v>
                </c:pt>
                <c:pt idx="20">
                  <c:v>-3.9614802992377872E-2</c:v>
                </c:pt>
                <c:pt idx="21">
                  <c:v>-4.8993883888145878E-2</c:v>
                </c:pt>
                <c:pt idx="22">
                  <c:v>-5.8170686624913148E-2</c:v>
                </c:pt>
                <c:pt idx="23">
                  <c:v>-6.7151685174863376E-2</c:v>
                </c:pt>
                <c:pt idx="24">
                  <c:v>-7.5943080157899523E-2</c:v>
                </c:pt>
              </c:numCache>
            </c:numRef>
          </c:yVal>
          <c:smooth val="0"/>
          <c:extLst>
            <c:ext xmlns:c16="http://schemas.microsoft.com/office/drawing/2014/chart" uri="{C3380CC4-5D6E-409C-BE32-E72D297353CC}">
              <c16:uniqueId val="{00000004-BD64-44E7-8BA0-129C26A70AAE}"/>
            </c:ext>
          </c:extLst>
        </c:ser>
        <c:dLbls>
          <c:showLegendKey val="0"/>
          <c:showVal val="0"/>
          <c:showCatName val="0"/>
          <c:showSerName val="0"/>
          <c:showPercent val="0"/>
          <c:showBubbleSize val="0"/>
        </c:dLbls>
        <c:axId val="253035119"/>
        <c:axId val="253030959"/>
      </c:scatterChart>
      <c:valAx>
        <c:axId val="1944548912"/>
        <c:scaling>
          <c:orientation val="minMax"/>
          <c:max val="2045"/>
          <c:min val="2020"/>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44549744"/>
        <c:crosses val="autoZero"/>
        <c:crossBetween val="midCat"/>
      </c:valAx>
      <c:valAx>
        <c:axId val="194454974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baseline="0"/>
                  <a:t>Produktionskosten Klinker [€/t]</a:t>
                </a:r>
                <a:endParaRPr lang="en-US"/>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44548912"/>
        <c:crosses val="autoZero"/>
        <c:crossBetween val="midCat"/>
      </c:valAx>
      <c:valAx>
        <c:axId val="253030959"/>
        <c:scaling>
          <c:orientation val="minMax"/>
          <c:min val="0"/>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Premiu</a:t>
                </a:r>
                <a:r>
                  <a:rPr lang="en-US" baseline="0"/>
                  <a:t>m für klmafreundlichen Klinker [%]</a:t>
                </a:r>
                <a:endParaRPr lang="en-US"/>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out"/>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53035119"/>
        <c:crosses val="max"/>
        <c:crossBetween val="midCat"/>
      </c:valAx>
      <c:valAx>
        <c:axId val="253035119"/>
        <c:scaling>
          <c:orientation val="minMax"/>
        </c:scaling>
        <c:delete val="1"/>
        <c:axPos val="b"/>
        <c:numFmt formatCode="General" sourceLinked="1"/>
        <c:majorTickMark val="out"/>
        <c:minorTickMark val="none"/>
        <c:tickLblPos val="nextTo"/>
        <c:crossAx val="253030959"/>
        <c:crosses val="autoZero"/>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jpg"/><Relationship Id="rId2" Type="http://schemas.openxmlformats.org/officeDocument/2006/relationships/image" Target="../media/image2.jp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2.jp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drawing5.xml.rels><?xml version="1.0" encoding="UTF-8" standalone="yes"?>
<Relationships xmlns="http://schemas.openxmlformats.org/package/2006/relationships"><Relationship Id="rId3" Type="http://schemas.openxmlformats.org/officeDocument/2006/relationships/chart" Target="../charts/chart8.xml"/><Relationship Id="rId2" Type="http://schemas.openxmlformats.org/officeDocument/2006/relationships/chart" Target="../charts/chart7.xml"/><Relationship Id="rId1" Type="http://schemas.openxmlformats.org/officeDocument/2006/relationships/chart" Target="../charts/chart6.xml"/><Relationship Id="rId5" Type="http://schemas.openxmlformats.org/officeDocument/2006/relationships/chart" Target="../charts/chart10.xml"/><Relationship Id="rId4"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editAs="oneCell">
    <xdr:from>
      <xdr:col>11</xdr:col>
      <xdr:colOff>92868</xdr:colOff>
      <xdr:row>1</xdr:row>
      <xdr:rowOff>474369</xdr:rowOff>
    </xdr:from>
    <xdr:to>
      <xdr:col>13</xdr:col>
      <xdr:colOff>306228</xdr:colOff>
      <xdr:row>1</xdr:row>
      <xdr:rowOff>1179416</xdr:rowOff>
    </xdr:to>
    <xdr:pic>
      <xdr:nvPicPr>
        <xdr:cNvPr id="5" name="Grafik 4">
          <a:extLst>
            <a:ext uri="{FF2B5EF4-FFF2-40B4-BE49-F238E27FC236}">
              <a16:creationId xmlns:a16="http://schemas.microsoft.com/office/drawing/2014/main" id="{762FE708-F70F-418A-AA19-D9370B7C1F6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370593" y="631532"/>
          <a:ext cx="2042160" cy="705047"/>
        </a:xfrm>
        <a:prstGeom prst="rect">
          <a:avLst/>
        </a:prstGeom>
      </xdr:spPr>
    </xdr:pic>
    <xdr:clientData/>
  </xdr:twoCellAnchor>
  <xdr:twoCellAnchor editAs="oneCell">
    <xdr:from>
      <xdr:col>8</xdr:col>
      <xdr:colOff>371216</xdr:colOff>
      <xdr:row>1</xdr:row>
      <xdr:rowOff>679332</xdr:rowOff>
    </xdr:from>
    <xdr:to>
      <xdr:col>10</xdr:col>
      <xdr:colOff>494348</xdr:colOff>
      <xdr:row>1</xdr:row>
      <xdr:rowOff>898530</xdr:rowOff>
    </xdr:to>
    <xdr:pic>
      <xdr:nvPicPr>
        <xdr:cNvPr id="6" name="Grafik 5">
          <a:extLst>
            <a:ext uri="{FF2B5EF4-FFF2-40B4-BE49-F238E27FC236}">
              <a16:creationId xmlns:a16="http://schemas.microsoft.com/office/drawing/2014/main" id="{0CC07512-F39E-4BA5-B525-42E8E34FB5F3}"/>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9905741" y="836495"/>
          <a:ext cx="1951932" cy="219198"/>
        </a:xfrm>
        <a:prstGeom prst="rect">
          <a:avLst/>
        </a:prstGeom>
      </xdr:spPr>
    </xdr:pic>
    <xdr:clientData/>
  </xdr:twoCellAnchor>
  <xdr:twoCellAnchor editAs="oneCell">
    <xdr:from>
      <xdr:col>13</xdr:col>
      <xdr:colOff>842961</xdr:colOff>
      <xdr:row>1</xdr:row>
      <xdr:rowOff>497746</xdr:rowOff>
    </xdr:from>
    <xdr:to>
      <xdr:col>15</xdr:col>
      <xdr:colOff>677516</xdr:colOff>
      <xdr:row>1</xdr:row>
      <xdr:rowOff>1162506</xdr:rowOff>
    </xdr:to>
    <xdr:pic>
      <xdr:nvPicPr>
        <xdr:cNvPr id="7" name="Picture 1">
          <a:extLst>
            <a:ext uri="{FF2B5EF4-FFF2-40B4-BE49-F238E27FC236}">
              <a16:creationId xmlns:a16="http://schemas.microsoft.com/office/drawing/2014/main" id="{8AB2D6BC-7B3F-4CD9-B62E-D9A3C62737E2}"/>
            </a:ext>
          </a:extLst>
        </xdr:cNvPr>
        <xdr:cNvPicPr/>
      </xdr:nvPicPr>
      <xdr:blipFill>
        <a:blip xmlns:r="http://schemas.openxmlformats.org/officeDocument/2006/relationships" r:embed="rId3"/>
        <a:srcRect/>
        <a:stretch/>
      </xdr:blipFill>
      <xdr:spPr bwMode="auto">
        <a:xfrm>
          <a:off x="14949486" y="654909"/>
          <a:ext cx="1663355" cy="66476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4273247</xdr:colOff>
      <xdr:row>2</xdr:row>
      <xdr:rowOff>75698</xdr:rowOff>
    </xdr:from>
    <xdr:to>
      <xdr:col>2</xdr:col>
      <xdr:colOff>6073236</xdr:colOff>
      <xdr:row>6</xdr:row>
      <xdr:rowOff>95119</xdr:rowOff>
    </xdr:to>
    <xdr:pic>
      <xdr:nvPicPr>
        <xdr:cNvPr id="5" name="Grafik 4">
          <a:extLst>
            <a:ext uri="{FF2B5EF4-FFF2-40B4-BE49-F238E27FC236}">
              <a16:creationId xmlns:a16="http://schemas.microsoft.com/office/drawing/2014/main" id="{3DF54ACC-7DCB-4DA7-9989-349B11AD5F0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32401" y="398083"/>
          <a:ext cx="1788559" cy="668000"/>
        </a:xfrm>
        <a:prstGeom prst="rect">
          <a:avLst/>
        </a:prstGeom>
      </xdr:spPr>
    </xdr:pic>
    <xdr:clientData/>
  </xdr:twoCellAnchor>
  <xdr:twoCellAnchor editAs="oneCell">
    <xdr:from>
      <xdr:col>2</xdr:col>
      <xdr:colOff>6351</xdr:colOff>
      <xdr:row>3</xdr:row>
      <xdr:rowOff>82622</xdr:rowOff>
    </xdr:from>
    <xdr:to>
      <xdr:col>2</xdr:col>
      <xdr:colOff>2536191</xdr:colOff>
      <xdr:row>5</xdr:row>
      <xdr:rowOff>60596</xdr:rowOff>
    </xdr:to>
    <xdr:pic>
      <xdr:nvPicPr>
        <xdr:cNvPr id="6" name="Grafik 5">
          <a:extLst>
            <a:ext uri="{FF2B5EF4-FFF2-40B4-BE49-F238E27FC236}">
              <a16:creationId xmlns:a16="http://schemas.microsoft.com/office/drawing/2014/main" id="{054BB20B-A270-411B-A2AD-59F620535BC6}"/>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465505" y="566199"/>
          <a:ext cx="2533650" cy="304169"/>
        </a:xfrm>
        <a:prstGeom prst="rect">
          <a:avLst/>
        </a:prstGeom>
      </xdr:spPr>
    </xdr:pic>
    <xdr:clientData/>
  </xdr:twoCellAnchor>
  <xdr:twoCellAnchor editAs="oneCell">
    <xdr:from>
      <xdr:col>2</xdr:col>
      <xdr:colOff>7944532</xdr:colOff>
      <xdr:row>1</xdr:row>
      <xdr:rowOff>145123</xdr:rowOff>
    </xdr:from>
    <xdr:to>
      <xdr:col>2</xdr:col>
      <xdr:colOff>10151407</xdr:colOff>
      <xdr:row>7</xdr:row>
      <xdr:rowOff>0</xdr:rowOff>
    </xdr:to>
    <xdr:pic>
      <xdr:nvPicPr>
        <xdr:cNvPr id="7" name="Picture 1">
          <a:extLst>
            <a:ext uri="{FF2B5EF4-FFF2-40B4-BE49-F238E27FC236}">
              <a16:creationId xmlns:a16="http://schemas.microsoft.com/office/drawing/2014/main" id="{EF272993-E5C4-4EF3-B996-B9AF3D1147E4}"/>
            </a:ext>
          </a:extLst>
        </xdr:cNvPr>
        <xdr:cNvPicPr/>
      </xdr:nvPicPr>
      <xdr:blipFill>
        <a:blip xmlns:r="http://schemas.openxmlformats.org/officeDocument/2006/relationships" r:embed="rId3"/>
        <a:srcRect/>
        <a:stretch/>
      </xdr:blipFill>
      <xdr:spPr bwMode="auto">
        <a:xfrm>
          <a:off x="8406911" y="320827"/>
          <a:ext cx="2195445" cy="909100"/>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2</xdr:col>
      <xdr:colOff>16329</xdr:colOff>
      <xdr:row>20</xdr:row>
      <xdr:rowOff>0</xdr:rowOff>
    </xdr:from>
    <xdr:to>
      <xdr:col>9</xdr:col>
      <xdr:colOff>700496</xdr:colOff>
      <xdr:row>39</xdr:row>
      <xdr:rowOff>152400</xdr:rowOff>
    </xdr:to>
    <xdr:graphicFrame macro="">
      <xdr:nvGraphicFramePr>
        <xdr:cNvPr id="2" name="Diagramm 1">
          <a:extLst>
            <a:ext uri="{FF2B5EF4-FFF2-40B4-BE49-F238E27FC236}">
              <a16:creationId xmlns:a16="http://schemas.microsoft.com/office/drawing/2014/main" id="{00000000-0008-0000-0300-000002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23</xdr:col>
      <xdr:colOff>218956</xdr:colOff>
      <xdr:row>19</xdr:row>
      <xdr:rowOff>114301</xdr:rowOff>
    </xdr:from>
    <xdr:to>
      <xdr:col>31</xdr:col>
      <xdr:colOff>13073</xdr:colOff>
      <xdr:row>39</xdr:row>
      <xdr:rowOff>123825</xdr:rowOff>
    </xdr:to>
    <xdr:graphicFrame macro="">
      <xdr:nvGraphicFramePr>
        <xdr:cNvPr id="4" name="Diagramm 3">
          <a:extLst>
            <a:ext uri="{FF2B5EF4-FFF2-40B4-BE49-F238E27FC236}">
              <a16:creationId xmlns:a16="http://schemas.microsoft.com/office/drawing/2014/main" id="{00000000-0008-0000-0300-000004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13</xdr:col>
      <xdr:colOff>47625</xdr:colOff>
      <xdr:row>19</xdr:row>
      <xdr:rowOff>117901</xdr:rowOff>
    </xdr:from>
    <xdr:to>
      <xdr:col>20</xdr:col>
      <xdr:colOff>885825</xdr:colOff>
      <xdr:row>39</xdr:row>
      <xdr:rowOff>148624</xdr:rowOff>
    </xdr:to>
    <xdr:graphicFrame macro="">
      <xdr:nvGraphicFramePr>
        <xdr:cNvPr id="5" name="Diagramm 4">
          <a:extLst>
            <a:ext uri="{FF2B5EF4-FFF2-40B4-BE49-F238E27FC236}">
              <a16:creationId xmlns:a16="http://schemas.microsoft.com/office/drawing/2014/main" id="{00000000-0008-0000-0300-000005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35686</xdr:colOff>
      <xdr:row>50</xdr:row>
      <xdr:rowOff>1047750</xdr:rowOff>
    </xdr:from>
    <xdr:to>
      <xdr:col>10</xdr:col>
      <xdr:colOff>35019</xdr:colOff>
      <xdr:row>72</xdr:row>
      <xdr:rowOff>28889</xdr:rowOff>
    </xdr:to>
    <xdr:graphicFrame macro="">
      <xdr:nvGraphicFramePr>
        <xdr:cNvPr id="6" name="Diagramm 5">
          <a:extLst>
            <a:ext uri="{FF2B5EF4-FFF2-40B4-BE49-F238E27FC236}">
              <a16:creationId xmlns:a16="http://schemas.microsoft.com/office/drawing/2014/main" id="{00000000-0008-0000-0300-000006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oneCellAnchor>
    <xdr:from>
      <xdr:col>4</xdr:col>
      <xdr:colOff>36286</xdr:colOff>
      <xdr:row>20</xdr:row>
      <xdr:rowOff>19261</xdr:rowOff>
    </xdr:from>
    <xdr:ext cx="398571" cy="239809"/>
    <xdr:sp macro="" textlink="$D$15">
      <xdr:nvSpPr>
        <xdr:cNvPr id="7" name="Textfeld 6">
          <a:extLst>
            <a:ext uri="{FF2B5EF4-FFF2-40B4-BE49-F238E27FC236}">
              <a16:creationId xmlns:a16="http://schemas.microsoft.com/office/drawing/2014/main" id="{00000000-0008-0000-0300-000007000000}"/>
            </a:ext>
          </a:extLst>
        </xdr:cNvPr>
        <xdr:cNvSpPr txBox="1"/>
      </xdr:nvSpPr>
      <xdr:spPr>
        <a:xfrm>
          <a:off x="1979386" y="4962736"/>
          <a:ext cx="398571"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fld id="{3E2396A3-676B-470C-B1D6-3B7302C61E90}" type="TxLink">
            <a:rPr lang="en-US" sz="1000" b="1" i="0" u="none" strike="noStrike">
              <a:solidFill>
                <a:srgbClr val="000000"/>
              </a:solidFill>
              <a:latin typeface="Arial"/>
              <a:ea typeface="Verdana"/>
              <a:cs typeface="Arial"/>
            </a:rPr>
            <a:pPr/>
            <a:t>107</a:t>
          </a:fld>
          <a:endParaRPr lang="de-DE" sz="1000"/>
        </a:p>
      </xdr:txBody>
    </xdr:sp>
    <xdr:clientData/>
  </xdr:oneCellAnchor>
  <xdr:oneCellAnchor>
    <xdr:from>
      <xdr:col>4</xdr:col>
      <xdr:colOff>22166</xdr:colOff>
      <xdr:row>50</xdr:row>
      <xdr:rowOff>1076961</xdr:rowOff>
    </xdr:from>
    <xdr:ext cx="327269" cy="239809"/>
    <xdr:sp macro="" textlink="Diagrammtabelle!D10">
      <xdr:nvSpPr>
        <xdr:cNvPr id="10" name="Textfeld 9">
          <a:extLst>
            <a:ext uri="{FF2B5EF4-FFF2-40B4-BE49-F238E27FC236}">
              <a16:creationId xmlns:a16="http://schemas.microsoft.com/office/drawing/2014/main" id="{00000000-0008-0000-0300-00000A000000}"/>
            </a:ext>
          </a:extLst>
        </xdr:cNvPr>
        <xdr:cNvSpPr txBox="1"/>
      </xdr:nvSpPr>
      <xdr:spPr>
        <a:xfrm>
          <a:off x="1969499" y="11004128"/>
          <a:ext cx="327269"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fld id="{34B9FA32-1C40-48E8-A967-E024EA9A3529}" type="TxLink">
            <a:rPr lang="en-US" sz="1000" b="1" i="0" u="none" strike="noStrike">
              <a:solidFill>
                <a:srgbClr val="000000"/>
              </a:solidFill>
              <a:latin typeface="Arial"/>
              <a:cs typeface="Arial"/>
            </a:rPr>
            <a:pPr/>
            <a:t>36</a:t>
          </a:fld>
          <a:endParaRPr lang="de-DE" sz="1000" b="1"/>
        </a:p>
      </xdr:txBody>
    </xdr:sp>
    <xdr:clientData/>
  </xdr:oneCellAnchor>
  <xdr:oneCellAnchor>
    <xdr:from>
      <xdr:col>6</xdr:col>
      <xdr:colOff>54271</xdr:colOff>
      <xdr:row>50</xdr:row>
      <xdr:rowOff>1082676</xdr:rowOff>
    </xdr:from>
    <xdr:ext cx="327269" cy="239809"/>
    <xdr:sp macro="" textlink="Diagrammtabelle!E10">
      <xdr:nvSpPr>
        <xdr:cNvPr id="11" name="Textfeld 10">
          <a:extLst>
            <a:ext uri="{FF2B5EF4-FFF2-40B4-BE49-F238E27FC236}">
              <a16:creationId xmlns:a16="http://schemas.microsoft.com/office/drawing/2014/main" id="{00000000-0008-0000-0300-00000B000000}"/>
            </a:ext>
          </a:extLst>
        </xdr:cNvPr>
        <xdr:cNvSpPr txBox="1"/>
      </xdr:nvSpPr>
      <xdr:spPr>
        <a:xfrm>
          <a:off x="3642021" y="11009843"/>
          <a:ext cx="327269"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fld id="{7CD1F1A9-FD80-4EC1-A10A-9F224077E951}" type="TxLink">
            <a:rPr lang="en-US" sz="1000" b="1" i="0" u="none" strike="noStrike">
              <a:solidFill>
                <a:srgbClr val="000000"/>
              </a:solidFill>
              <a:latin typeface="Arial"/>
              <a:cs typeface="Arial"/>
            </a:rPr>
            <a:pPr/>
            <a:t>77</a:t>
          </a:fld>
          <a:endParaRPr lang="de-DE" sz="1000" b="1"/>
        </a:p>
      </xdr:txBody>
    </xdr:sp>
    <xdr:clientData/>
  </xdr:oneCellAnchor>
  <xdr:oneCellAnchor>
    <xdr:from>
      <xdr:col>8</xdr:col>
      <xdr:colOff>284391</xdr:colOff>
      <xdr:row>50</xdr:row>
      <xdr:rowOff>1086486</xdr:rowOff>
    </xdr:from>
    <xdr:ext cx="327269" cy="239809"/>
    <xdr:sp macro="" textlink="Diagrammtabelle!F10">
      <xdr:nvSpPr>
        <xdr:cNvPr id="12" name="Textfeld 11">
          <a:extLst>
            <a:ext uri="{FF2B5EF4-FFF2-40B4-BE49-F238E27FC236}">
              <a16:creationId xmlns:a16="http://schemas.microsoft.com/office/drawing/2014/main" id="{00000000-0008-0000-0300-00000C000000}"/>
            </a:ext>
          </a:extLst>
        </xdr:cNvPr>
        <xdr:cNvSpPr txBox="1"/>
      </xdr:nvSpPr>
      <xdr:spPr>
        <a:xfrm>
          <a:off x="5311474" y="11013653"/>
          <a:ext cx="327269"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fld id="{CD61F920-C4A4-4134-8BCD-6625F2C0C3F1}" type="TxLink">
            <a:rPr lang="en-US" sz="1000" b="1" i="0" u="none" strike="noStrike">
              <a:solidFill>
                <a:srgbClr val="000000"/>
              </a:solidFill>
              <a:latin typeface="Arial"/>
              <a:cs typeface="Arial"/>
            </a:rPr>
            <a:pPr/>
            <a:t>96</a:t>
          </a:fld>
          <a:endParaRPr lang="de-DE" sz="1000" b="1"/>
        </a:p>
      </xdr:txBody>
    </xdr:sp>
    <xdr:clientData/>
  </xdr:oneCellAnchor>
  <xdr:twoCellAnchor>
    <xdr:from>
      <xdr:col>13</xdr:col>
      <xdr:colOff>53620</xdr:colOff>
      <xdr:row>64</xdr:row>
      <xdr:rowOff>56302</xdr:rowOff>
    </xdr:from>
    <xdr:to>
      <xdr:col>20</xdr:col>
      <xdr:colOff>1005759</xdr:colOff>
      <xdr:row>92</xdr:row>
      <xdr:rowOff>56739</xdr:rowOff>
    </xdr:to>
    <xdr:graphicFrame macro="">
      <xdr:nvGraphicFramePr>
        <xdr:cNvPr id="13" name="Diagramm 12">
          <a:extLst>
            <a:ext uri="{FF2B5EF4-FFF2-40B4-BE49-F238E27FC236}">
              <a16:creationId xmlns:a16="http://schemas.microsoft.com/office/drawing/2014/main" id="{00000000-0008-0000-0300-00000D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oneCellAnchor>
    <xdr:from>
      <xdr:col>13</xdr:col>
      <xdr:colOff>1311065</xdr:colOff>
      <xdr:row>64</xdr:row>
      <xdr:rowOff>59727</xdr:rowOff>
    </xdr:from>
    <xdr:ext cx="290977" cy="312265"/>
    <xdr:sp macro="" textlink="">
      <xdr:nvSpPr>
        <xdr:cNvPr id="14" name="Textfeld 13">
          <a:extLst>
            <a:ext uri="{FF2B5EF4-FFF2-40B4-BE49-F238E27FC236}">
              <a16:creationId xmlns:a16="http://schemas.microsoft.com/office/drawing/2014/main" id="{00000000-0008-0000-0300-00000E000000}"/>
            </a:ext>
          </a:extLst>
        </xdr:cNvPr>
        <xdr:cNvSpPr txBox="1"/>
      </xdr:nvSpPr>
      <xdr:spPr>
        <a:xfrm>
          <a:off x="8645315" y="13691060"/>
          <a:ext cx="290977" cy="3122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400" b="1" i="0" u="none" strike="noStrike">
              <a:solidFill>
                <a:srgbClr val="000000"/>
              </a:solidFill>
              <a:latin typeface="Symbol" panose="05050102010706020507" pitchFamily="18" charset="2"/>
              <a:cs typeface="Arial"/>
            </a:rPr>
            <a:t>S</a:t>
          </a:r>
        </a:p>
      </xdr:txBody>
    </xdr:sp>
    <xdr:clientData/>
  </xdr:oneCellAnchor>
  <xdr:oneCellAnchor>
    <xdr:from>
      <xdr:col>14</xdr:col>
      <xdr:colOff>706804</xdr:colOff>
      <xdr:row>64</xdr:row>
      <xdr:rowOff>98575</xdr:rowOff>
    </xdr:from>
    <xdr:ext cx="327269" cy="239809"/>
    <xdr:sp macro="" textlink="Diagrammtabelle!E33">
      <xdr:nvSpPr>
        <xdr:cNvPr id="15" name="Textfeld 14">
          <a:extLst>
            <a:ext uri="{FF2B5EF4-FFF2-40B4-BE49-F238E27FC236}">
              <a16:creationId xmlns:a16="http://schemas.microsoft.com/office/drawing/2014/main" id="{00000000-0008-0000-0300-00000F000000}"/>
            </a:ext>
          </a:extLst>
        </xdr:cNvPr>
        <xdr:cNvSpPr txBox="1"/>
      </xdr:nvSpPr>
      <xdr:spPr>
        <a:xfrm>
          <a:off x="10115387" y="13729908"/>
          <a:ext cx="327269"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fld id="{C07E44D9-869C-4A7B-8ECE-B4A07E864922}" type="TxLink">
            <a:rPr lang="en-US" sz="1000" b="1" i="0" u="none" strike="noStrike">
              <a:solidFill>
                <a:srgbClr val="000000"/>
              </a:solidFill>
              <a:latin typeface="Arial"/>
              <a:cs typeface="Arial"/>
            </a:rPr>
            <a:pPr/>
            <a:t>59</a:t>
          </a:fld>
          <a:endParaRPr lang="de-DE" sz="1000" b="1"/>
        </a:p>
      </xdr:txBody>
    </xdr:sp>
    <xdr:clientData/>
  </xdr:oneCellAnchor>
  <xdr:oneCellAnchor>
    <xdr:from>
      <xdr:col>19</xdr:col>
      <xdr:colOff>701389</xdr:colOff>
      <xdr:row>64</xdr:row>
      <xdr:rowOff>93326</xdr:rowOff>
    </xdr:from>
    <xdr:ext cx="327269" cy="239809"/>
    <xdr:sp macro="" textlink="Diagrammtabelle!F33">
      <xdr:nvSpPr>
        <xdr:cNvPr id="16" name="Textfeld 15">
          <a:extLst>
            <a:ext uri="{FF2B5EF4-FFF2-40B4-BE49-F238E27FC236}">
              <a16:creationId xmlns:a16="http://schemas.microsoft.com/office/drawing/2014/main" id="{00000000-0008-0000-0300-000010000000}"/>
            </a:ext>
          </a:extLst>
        </xdr:cNvPr>
        <xdr:cNvSpPr txBox="1"/>
      </xdr:nvSpPr>
      <xdr:spPr>
        <a:xfrm>
          <a:off x="13591889" y="13724659"/>
          <a:ext cx="327269"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fld id="{E6C57917-6E2B-4581-BAA7-2FF93A1896B1}" type="TxLink">
            <a:rPr lang="en-US" sz="1000" b="1" i="0" u="none" strike="noStrike">
              <a:solidFill>
                <a:srgbClr val="000000"/>
              </a:solidFill>
              <a:latin typeface="Arial"/>
              <a:cs typeface="Arial"/>
            </a:rPr>
            <a:pPr/>
            <a:t>98</a:t>
          </a:fld>
          <a:endParaRPr lang="de-DE" sz="1000" b="1"/>
        </a:p>
      </xdr:txBody>
    </xdr:sp>
    <xdr:clientData/>
  </xdr:oneCellAnchor>
  <xdr:twoCellAnchor>
    <xdr:from>
      <xdr:col>16</xdr:col>
      <xdr:colOff>373495</xdr:colOff>
      <xdr:row>42</xdr:row>
      <xdr:rowOff>74468</xdr:rowOff>
    </xdr:from>
    <xdr:to>
      <xdr:col>16</xdr:col>
      <xdr:colOff>776313</xdr:colOff>
      <xdr:row>45</xdr:row>
      <xdr:rowOff>58249</xdr:rowOff>
    </xdr:to>
    <xdr:sp macro="" textlink="">
      <xdr:nvSpPr>
        <xdr:cNvPr id="18" name="Pfeil: nach unten 17">
          <a:extLst>
            <a:ext uri="{FF2B5EF4-FFF2-40B4-BE49-F238E27FC236}">
              <a16:creationId xmlns:a16="http://schemas.microsoft.com/office/drawing/2014/main" id="{5CAC504E-C019-4E3E-83D9-ADDC1CD7A1D5}"/>
            </a:ext>
          </a:extLst>
        </xdr:cNvPr>
        <xdr:cNvSpPr/>
      </xdr:nvSpPr>
      <xdr:spPr>
        <a:xfrm>
          <a:off x="11047845" y="6849918"/>
          <a:ext cx="402818" cy="460031"/>
        </a:xfrm>
        <a:prstGeom prst="downArrow">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5</xdr:col>
      <xdr:colOff>449695</xdr:colOff>
      <xdr:row>42</xdr:row>
      <xdr:rowOff>93518</xdr:rowOff>
    </xdr:from>
    <xdr:to>
      <xdr:col>6</xdr:col>
      <xdr:colOff>20663</xdr:colOff>
      <xdr:row>45</xdr:row>
      <xdr:rowOff>77299</xdr:rowOff>
    </xdr:to>
    <xdr:sp macro="" textlink="">
      <xdr:nvSpPr>
        <xdr:cNvPr id="19" name="Pfeil: nach unten 18">
          <a:extLst>
            <a:ext uri="{FF2B5EF4-FFF2-40B4-BE49-F238E27FC236}">
              <a16:creationId xmlns:a16="http://schemas.microsoft.com/office/drawing/2014/main" id="{892B8F34-F8D4-44A4-9B6F-61FDD3FFA0CA}"/>
            </a:ext>
          </a:extLst>
        </xdr:cNvPr>
        <xdr:cNvSpPr/>
      </xdr:nvSpPr>
      <xdr:spPr>
        <a:xfrm>
          <a:off x="3885045" y="6868968"/>
          <a:ext cx="402818" cy="460031"/>
        </a:xfrm>
        <a:prstGeom prst="downArrow">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wsDr>
</file>

<file path=xl/drawings/drawing4.xml><?xml version="1.0" encoding="utf-8"?>
<c:userShapes xmlns:c="http://schemas.openxmlformats.org/drawingml/2006/chart">
  <cdr:relSizeAnchor xmlns:cdr="http://schemas.openxmlformats.org/drawingml/2006/chartDrawing">
    <cdr:from>
      <cdr:x>0.53286</cdr:x>
      <cdr:y>0.00422</cdr:y>
    </cdr:from>
    <cdr:to>
      <cdr:x>0.59919</cdr:x>
      <cdr:y>0.07455</cdr:y>
    </cdr:to>
    <cdr:sp macro="" textlink="Ergebnisse!$E$15">
      <cdr:nvSpPr>
        <cdr:cNvPr id="2" name="Textfeld 6"/>
        <cdr:cNvSpPr txBox="1"/>
      </cdr:nvSpPr>
      <cdr:spPr>
        <a:xfrm xmlns:a="http://schemas.openxmlformats.org/drawingml/2006/main">
          <a:off x="3201765" y="14396"/>
          <a:ext cx="398571" cy="239809"/>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ctr">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fld id="{E3BD80B9-2805-4FA0-9935-A58311EDEE2E}" type="TxLink">
            <a:rPr lang="en-US" sz="1000" b="1" i="0" u="none" strike="noStrike">
              <a:solidFill>
                <a:srgbClr val="000000"/>
              </a:solidFill>
              <a:latin typeface="Arial"/>
              <a:ea typeface="Verdana"/>
              <a:cs typeface="Arial"/>
            </a:rPr>
            <a:pPr/>
            <a:t>121</a:t>
          </a:fld>
          <a:endParaRPr lang="de-DE" sz="1000"/>
        </a:p>
      </cdr:txBody>
    </cdr:sp>
  </cdr:relSizeAnchor>
  <cdr:relSizeAnchor xmlns:cdr="http://schemas.openxmlformats.org/drawingml/2006/chartDrawing">
    <cdr:from>
      <cdr:x>0.80223</cdr:x>
      <cdr:y>0</cdr:y>
    </cdr:from>
    <cdr:to>
      <cdr:x>0.86834</cdr:x>
      <cdr:y>0.07117</cdr:y>
    </cdr:to>
    <cdr:sp macro="" textlink="Ergebnisse!$F$15">
      <cdr:nvSpPr>
        <cdr:cNvPr id="3" name="Textfeld 6"/>
        <cdr:cNvSpPr txBox="1"/>
      </cdr:nvSpPr>
      <cdr:spPr>
        <a:xfrm xmlns:a="http://schemas.openxmlformats.org/drawingml/2006/main">
          <a:off x="4836444" y="0"/>
          <a:ext cx="398571" cy="239809"/>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fld id="{07B58A8B-7D10-4A60-B42E-0CF9BB72372D}" type="TxLink">
            <a:rPr lang="en-US" sz="1000" b="1" i="0" u="none" strike="noStrike">
              <a:solidFill>
                <a:srgbClr val="000000"/>
              </a:solidFill>
              <a:latin typeface="Arial"/>
              <a:ea typeface="Verdana"/>
              <a:cs typeface="Arial"/>
            </a:rPr>
            <a:pPr/>
            <a:t>139</a:t>
          </a:fld>
          <a:endParaRPr lang="de-DE" sz="1000"/>
        </a:p>
      </cdr:txBody>
    </cdr:sp>
  </cdr:relSizeAnchor>
</c:userShapes>
</file>

<file path=xl/drawings/drawing5.xml><?xml version="1.0" encoding="utf-8"?>
<xdr:wsDr xmlns:xdr="http://schemas.openxmlformats.org/drawingml/2006/spreadsheetDrawing" xmlns:a="http://schemas.openxmlformats.org/drawingml/2006/main">
  <xdr:twoCellAnchor>
    <xdr:from>
      <xdr:col>31</xdr:col>
      <xdr:colOff>4733</xdr:colOff>
      <xdr:row>83</xdr:row>
      <xdr:rowOff>74909</xdr:rowOff>
    </xdr:from>
    <xdr:to>
      <xdr:col>34</xdr:col>
      <xdr:colOff>1922414</xdr:colOff>
      <xdr:row>107</xdr:row>
      <xdr:rowOff>29864</xdr:rowOff>
    </xdr:to>
    <xdr:graphicFrame macro="">
      <xdr:nvGraphicFramePr>
        <xdr:cNvPr id="3" name="Diagramm 2">
          <a:extLst>
            <a:ext uri="{FF2B5EF4-FFF2-40B4-BE49-F238E27FC236}">
              <a16:creationId xmlns:a16="http://schemas.microsoft.com/office/drawing/2014/main" id="{72E8DE32-6C11-4449-9607-80131419B79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31</xdr:col>
      <xdr:colOff>1904</xdr:colOff>
      <xdr:row>55</xdr:row>
      <xdr:rowOff>168484</xdr:rowOff>
    </xdr:from>
    <xdr:to>
      <xdr:col>34</xdr:col>
      <xdr:colOff>1919585</xdr:colOff>
      <xdr:row>82</xdr:row>
      <xdr:rowOff>150321</xdr:rowOff>
    </xdr:to>
    <xdr:graphicFrame macro="">
      <xdr:nvGraphicFramePr>
        <xdr:cNvPr id="4" name="Diagramm 3">
          <a:extLst>
            <a:ext uri="{FF2B5EF4-FFF2-40B4-BE49-F238E27FC236}">
              <a16:creationId xmlns:a16="http://schemas.microsoft.com/office/drawing/2014/main" id="{79792F92-79CA-4989-A4B0-3C952DF25CC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31</xdr:col>
      <xdr:colOff>0</xdr:colOff>
      <xdr:row>32</xdr:row>
      <xdr:rowOff>0</xdr:rowOff>
    </xdr:from>
    <xdr:to>
      <xdr:col>34</xdr:col>
      <xdr:colOff>1917681</xdr:colOff>
      <xdr:row>55</xdr:row>
      <xdr:rowOff>98253</xdr:rowOff>
    </xdr:to>
    <xdr:graphicFrame macro="">
      <xdr:nvGraphicFramePr>
        <xdr:cNvPr id="5" name="Diagramm 4">
          <a:extLst>
            <a:ext uri="{FF2B5EF4-FFF2-40B4-BE49-F238E27FC236}">
              <a16:creationId xmlns:a16="http://schemas.microsoft.com/office/drawing/2014/main" id="{A5E22478-7EDD-4518-92B4-CBFDA591050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31</xdr:col>
      <xdr:colOff>0</xdr:colOff>
      <xdr:row>110</xdr:row>
      <xdr:rowOff>0</xdr:rowOff>
    </xdr:from>
    <xdr:to>
      <xdr:col>34</xdr:col>
      <xdr:colOff>1582844</xdr:colOff>
      <xdr:row>132</xdr:row>
      <xdr:rowOff>46674</xdr:rowOff>
    </xdr:to>
    <xdr:graphicFrame macro="">
      <xdr:nvGraphicFramePr>
        <xdr:cNvPr id="6" name="Diagramm 5">
          <a:extLst>
            <a:ext uri="{FF2B5EF4-FFF2-40B4-BE49-F238E27FC236}">
              <a16:creationId xmlns:a16="http://schemas.microsoft.com/office/drawing/2014/main" id="{2302658F-C5E3-49C9-BEAF-4458993132E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31</xdr:col>
      <xdr:colOff>0</xdr:colOff>
      <xdr:row>133</xdr:row>
      <xdr:rowOff>0</xdr:rowOff>
    </xdr:from>
    <xdr:to>
      <xdr:col>35</xdr:col>
      <xdr:colOff>236184</xdr:colOff>
      <xdr:row>155</xdr:row>
      <xdr:rowOff>131480</xdr:rowOff>
    </xdr:to>
    <xdr:graphicFrame macro="">
      <xdr:nvGraphicFramePr>
        <xdr:cNvPr id="7" name="Diagramm 6">
          <a:extLst>
            <a:ext uri="{FF2B5EF4-FFF2-40B4-BE49-F238E27FC236}">
              <a16:creationId xmlns:a16="http://schemas.microsoft.com/office/drawing/2014/main" id="{8FBA2208-CEEE-4B8C-9110-CF7A9EF77C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kumente%20und%20einstellungen/bertram.wvz.000/eigene%20dateien/1be/eudora/attach/Energie_PL_0203_N.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kumente%20und%20Einstellungen/Bertram.WVZ.000/Eigene%20Dateien/1be/Eudora/Attach/VDZEnergieWerkLage200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Energiewirtschaftsbericht/2015/Werke/NZ/NST_EnergieWB_20140926.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dokumente%20und%20einstellungen/bertram.wvz.000/eigene%20dateien/1be/eudora/attach/EWB_CLA20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hnitt"/>
      <sheetName val="SEITE1"/>
      <sheetName val="SEITE2"/>
      <sheetName val="SEITE3"/>
      <sheetName val="SEITE4"/>
      <sheetName val="SEITE5"/>
      <sheetName val="SEITE6"/>
      <sheetName val="SEITE7"/>
      <sheetName val="SEITE8"/>
      <sheetName val="SEITE9"/>
      <sheetName val="SEITE10"/>
      <sheetName val="SEITE11"/>
      <sheetName val="SEITE12"/>
      <sheetName val="SEITE99"/>
      <sheetName val="Paramete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ow r="5">
          <cell r="I5" t="str">
            <v>2002/03</v>
          </cell>
          <cell r="AP5">
            <v>86</v>
          </cell>
        </row>
      </sheetData>
      <sheetData sheetId="1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hnitt"/>
      <sheetName val="SEITE1"/>
      <sheetName val="SEITE2"/>
      <sheetName val="SEITE3"/>
      <sheetName val="SEITE4"/>
      <sheetName val="SEITE5"/>
      <sheetName val="SEITE6"/>
      <sheetName val="SEITE7"/>
      <sheetName val="SEITE8"/>
      <sheetName val="SEITE9"/>
      <sheetName val="SEITE10"/>
      <sheetName val="SEITE11"/>
      <sheetName val="SEITE12"/>
      <sheetName val="SEITE99"/>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row r="5">
          <cell r="I5" t="str">
            <v>2002/03</v>
          </cell>
          <cell r="AP5">
            <v>70</v>
          </cell>
          <cell r="BD5">
            <v>114</v>
          </cell>
          <cell r="BI5" t="b">
            <v>1</v>
          </cell>
        </row>
        <row r="6">
          <cell r="I6" t="str">
            <v>P&amp;l Werk Lage</v>
          </cell>
          <cell r="AP6" t="str">
            <v/>
          </cell>
          <cell r="BD6" t="e">
            <v>#VALUE!</v>
          </cell>
        </row>
        <row r="7">
          <cell r="AL7" t="str">
            <v>Hillgenann / Kriesten</v>
          </cell>
        </row>
        <row r="23">
          <cell r="AK23">
            <v>512731</v>
          </cell>
        </row>
        <row r="25">
          <cell r="AL25">
            <v>331.4</v>
          </cell>
        </row>
        <row r="27">
          <cell r="AL27">
            <v>74265.8</v>
          </cell>
        </row>
        <row r="28">
          <cell r="AN28">
            <v>28.89</v>
          </cell>
        </row>
        <row r="30">
          <cell r="AL30">
            <v>0</v>
          </cell>
        </row>
        <row r="37">
          <cell r="AA37">
            <v>72889.86</v>
          </cell>
          <cell r="AN37">
            <v>32.1</v>
          </cell>
        </row>
        <row r="38">
          <cell r="AA38">
            <v>13494</v>
          </cell>
          <cell r="AN38">
            <v>25.79</v>
          </cell>
        </row>
        <row r="43">
          <cell r="AA43">
            <v>27049</v>
          </cell>
          <cell r="AN43">
            <v>89</v>
          </cell>
        </row>
        <row r="44">
          <cell r="AA44">
            <v>23658</v>
          </cell>
          <cell r="AN44">
            <v>89</v>
          </cell>
        </row>
        <row r="45">
          <cell r="AA45">
            <v>3541.89</v>
          </cell>
          <cell r="AN45">
            <v>85.2</v>
          </cell>
        </row>
        <row r="51">
          <cell r="AL51">
            <v>0</v>
          </cell>
        </row>
        <row r="85">
          <cell r="M85">
            <v>4001.9</v>
          </cell>
          <cell r="AO85">
            <v>8.68</v>
          </cell>
        </row>
        <row r="87">
          <cell r="M87">
            <v>0</v>
          </cell>
          <cell r="AO87">
            <v>0</v>
          </cell>
        </row>
        <row r="89">
          <cell r="M89">
            <v>0</v>
          </cell>
          <cell r="AO89">
            <v>0</v>
          </cell>
        </row>
        <row r="91">
          <cell r="M91">
            <v>0</v>
          </cell>
          <cell r="AO91">
            <v>0</v>
          </cell>
        </row>
        <row r="93">
          <cell r="M93">
            <v>4794.5</v>
          </cell>
          <cell r="AO93">
            <v>11.28</v>
          </cell>
        </row>
        <row r="95">
          <cell r="L95">
            <v>0</v>
          </cell>
          <cell r="AO95">
            <v>0</v>
          </cell>
        </row>
        <row r="97">
          <cell r="L97">
            <v>0</v>
          </cell>
          <cell r="AO97">
            <v>0</v>
          </cell>
        </row>
        <row r="99">
          <cell r="L99">
            <v>0</v>
          </cell>
          <cell r="AO99">
            <v>0</v>
          </cell>
        </row>
        <row r="106">
          <cell r="AB106">
            <v>0</v>
          </cell>
        </row>
        <row r="124">
          <cell r="M124">
            <v>0</v>
          </cell>
          <cell r="AO124">
            <v>0</v>
          </cell>
        </row>
        <row r="126">
          <cell r="M126">
            <v>0</v>
          </cell>
          <cell r="AO126">
            <v>0</v>
          </cell>
        </row>
        <row r="128">
          <cell r="M128">
            <v>0</v>
          </cell>
          <cell r="AO128">
            <v>0</v>
          </cell>
        </row>
        <row r="130">
          <cell r="M130">
            <v>0</v>
          </cell>
          <cell r="AO130">
            <v>0</v>
          </cell>
        </row>
        <row r="132">
          <cell r="M132">
            <v>1897</v>
          </cell>
          <cell r="AO132">
            <v>11.28</v>
          </cell>
        </row>
        <row r="134">
          <cell r="M134">
            <v>0</v>
          </cell>
          <cell r="AO134">
            <v>0</v>
          </cell>
        </row>
        <row r="136">
          <cell r="M136">
            <v>0</v>
          </cell>
          <cell r="AO136">
            <v>0</v>
          </cell>
        </row>
        <row r="138">
          <cell r="M138">
            <v>424500</v>
          </cell>
          <cell r="AO138">
            <v>5.5</v>
          </cell>
        </row>
        <row r="145">
          <cell r="M145">
            <v>1116.2</v>
          </cell>
          <cell r="AO145">
            <v>7.89</v>
          </cell>
        </row>
        <row r="152">
          <cell r="AH152">
            <v>12385.2</v>
          </cell>
        </row>
        <row r="153">
          <cell r="AH153">
            <v>648.70000000000005</v>
          </cell>
        </row>
        <row r="155">
          <cell r="AH155">
            <v>107.2</v>
          </cell>
        </row>
        <row r="156">
          <cell r="AH156">
            <v>0</v>
          </cell>
        </row>
        <row r="295">
          <cell r="M295">
            <v>0</v>
          </cell>
          <cell r="AO295">
            <v>0</v>
          </cell>
        </row>
        <row r="297">
          <cell r="M297">
            <v>0</v>
          </cell>
          <cell r="AO297">
            <v>0</v>
          </cell>
        </row>
        <row r="299">
          <cell r="M299">
            <v>0</v>
          </cell>
          <cell r="AO299">
            <v>0</v>
          </cell>
        </row>
        <row r="301">
          <cell r="M301">
            <v>0</v>
          </cell>
          <cell r="AO301">
            <v>0</v>
          </cell>
        </row>
        <row r="303">
          <cell r="M303">
            <v>0</v>
          </cell>
          <cell r="AO303">
            <v>0</v>
          </cell>
        </row>
        <row r="305">
          <cell r="M305">
            <v>0</v>
          </cell>
          <cell r="AO305">
            <v>0</v>
          </cell>
        </row>
        <row r="307">
          <cell r="M307">
            <v>0</v>
          </cell>
          <cell r="AO307">
            <v>0</v>
          </cell>
        </row>
        <row r="309">
          <cell r="M309">
            <v>0</v>
          </cell>
          <cell r="AO309">
            <v>0</v>
          </cell>
        </row>
        <row r="313">
          <cell r="AB313">
            <v>0</v>
          </cell>
        </row>
        <row r="320">
          <cell r="AI320">
            <v>0</v>
          </cell>
        </row>
        <row r="321">
          <cell r="AI321">
            <v>0</v>
          </cell>
        </row>
        <row r="323">
          <cell r="AI323">
            <v>0</v>
          </cell>
        </row>
        <row r="324">
          <cell r="AI324">
            <v>0</v>
          </cell>
        </row>
        <row r="369">
          <cell r="M369">
            <v>834</v>
          </cell>
          <cell r="AO369">
            <v>8.68</v>
          </cell>
        </row>
        <row r="371">
          <cell r="M371">
            <v>0</v>
          </cell>
          <cell r="AO371">
            <v>0</v>
          </cell>
        </row>
        <row r="373">
          <cell r="M373">
            <v>0</v>
          </cell>
          <cell r="AO373">
            <v>0</v>
          </cell>
        </row>
        <row r="375">
          <cell r="M375">
            <v>0</v>
          </cell>
          <cell r="AO375">
            <v>0</v>
          </cell>
        </row>
        <row r="377">
          <cell r="M377">
            <v>242.6</v>
          </cell>
          <cell r="AO377">
            <v>11.28</v>
          </cell>
        </row>
        <row r="379">
          <cell r="M379">
            <v>373</v>
          </cell>
          <cell r="AO379">
            <v>9.89</v>
          </cell>
        </row>
        <row r="381">
          <cell r="M381">
            <v>0</v>
          </cell>
          <cell r="AO381">
            <v>0</v>
          </cell>
        </row>
        <row r="383">
          <cell r="M383">
            <v>0</v>
          </cell>
          <cell r="AO383">
            <v>0</v>
          </cell>
        </row>
        <row r="388">
          <cell r="AB388">
            <v>0</v>
          </cell>
        </row>
        <row r="398">
          <cell r="AI398">
            <v>0</v>
          </cell>
        </row>
        <row r="399">
          <cell r="AI399">
            <v>2533.1999999999998</v>
          </cell>
        </row>
        <row r="401">
          <cell r="AI401">
            <v>0</v>
          </cell>
        </row>
        <row r="402">
          <cell r="AI402">
            <v>0</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hnittS"/>
      <sheetName val="Schnitt"/>
      <sheetName val="Teil 1"/>
      <sheetName val="Teil 2"/>
      <sheetName val="Teil 1-2"/>
      <sheetName val="Schnitt-Ergebnis"/>
      <sheetName val="Stammdaten"/>
      <sheetName val="Tabelle1"/>
    </sheetNames>
    <sheetDataSet>
      <sheetData sheetId="0" refreshError="1"/>
      <sheetData sheetId="1" refreshError="1"/>
      <sheetData sheetId="2"/>
      <sheetData sheetId="3">
        <row r="5">
          <cell r="AP5">
            <v>25</v>
          </cell>
        </row>
      </sheetData>
      <sheetData sheetId="4">
        <row r="5">
          <cell r="BD5">
            <v>188</v>
          </cell>
        </row>
        <row r="6">
          <cell r="I6" t="str">
            <v>Nordstemmen</v>
          </cell>
          <cell r="AP6">
            <v>49</v>
          </cell>
          <cell r="BD6">
            <v>194</v>
          </cell>
        </row>
        <row r="23">
          <cell r="AK23">
            <v>1895006</v>
          </cell>
        </row>
        <row r="25">
          <cell r="AL25">
            <v>1055</v>
          </cell>
        </row>
        <row r="27">
          <cell r="AL27">
            <v>229042</v>
          </cell>
        </row>
        <row r="28">
          <cell r="AN28">
            <v>0</v>
          </cell>
        </row>
        <row r="30">
          <cell r="AL30">
            <v>94503</v>
          </cell>
        </row>
        <row r="37">
          <cell r="AA37">
            <v>316401</v>
          </cell>
          <cell r="AN37">
            <v>31.674480453601596</v>
          </cell>
        </row>
        <row r="38">
          <cell r="AA38">
            <v>25088.440000000002</v>
          </cell>
          <cell r="AN38">
            <v>26.102228596118369</v>
          </cell>
        </row>
        <row r="43">
          <cell r="AA43">
            <v>125849.2</v>
          </cell>
          <cell r="AN43">
            <v>91.856661973218749</v>
          </cell>
        </row>
        <row r="44">
          <cell r="AA44">
            <v>108960</v>
          </cell>
          <cell r="AN44">
            <v>91.857671806167403</v>
          </cell>
        </row>
        <row r="45">
          <cell r="AA45">
            <v>17420.690000000002</v>
          </cell>
          <cell r="AN45">
            <v>88.45187703242523</v>
          </cell>
        </row>
        <row r="51">
          <cell r="AL51">
            <v>68229</v>
          </cell>
        </row>
        <row r="53">
          <cell r="AN53">
            <v>20.08802063638629</v>
          </cell>
        </row>
        <row r="85">
          <cell r="M85">
            <v>8116.24</v>
          </cell>
          <cell r="AO85">
            <v>8.9030000000000005</v>
          </cell>
        </row>
        <row r="87">
          <cell r="M87">
            <v>0</v>
          </cell>
          <cell r="AO87">
            <v>0</v>
          </cell>
        </row>
        <row r="89">
          <cell r="M89">
            <v>0</v>
          </cell>
          <cell r="AO89">
            <v>0</v>
          </cell>
        </row>
        <row r="91">
          <cell r="M91">
            <v>0</v>
          </cell>
          <cell r="AO91">
            <v>0</v>
          </cell>
        </row>
        <row r="93">
          <cell r="M93">
            <v>0</v>
          </cell>
          <cell r="AO93">
            <v>0</v>
          </cell>
        </row>
        <row r="95">
          <cell r="L95">
            <v>0</v>
          </cell>
          <cell r="AO95">
            <v>0</v>
          </cell>
        </row>
        <row r="97">
          <cell r="L97">
            <v>25114259</v>
          </cell>
          <cell r="AO97">
            <v>8.8239999999999998</v>
          </cell>
        </row>
        <row r="99">
          <cell r="L99">
            <v>0</v>
          </cell>
          <cell r="AO99">
            <v>0</v>
          </cell>
        </row>
        <row r="106">
          <cell r="AB106">
            <v>0</v>
          </cell>
        </row>
        <row r="124">
          <cell r="M124">
            <v>0</v>
          </cell>
          <cell r="AO124">
            <v>0</v>
          </cell>
        </row>
        <row r="126">
          <cell r="M126">
            <v>0</v>
          </cell>
          <cell r="AO126">
            <v>0</v>
          </cell>
        </row>
        <row r="128">
          <cell r="M128">
            <v>0</v>
          </cell>
          <cell r="AO128">
            <v>0</v>
          </cell>
        </row>
        <row r="130">
          <cell r="M130">
            <v>11912.9</v>
          </cell>
          <cell r="AO130">
            <v>6.0579999999999998</v>
          </cell>
        </row>
        <row r="132">
          <cell r="M132">
            <v>432</v>
          </cell>
          <cell r="AO132">
            <v>11.263999999999999</v>
          </cell>
        </row>
        <row r="134">
          <cell r="M134">
            <v>0</v>
          </cell>
          <cell r="AO134">
            <v>0</v>
          </cell>
        </row>
        <row r="136">
          <cell r="M136">
            <v>6337246</v>
          </cell>
          <cell r="AO136">
            <v>8.8239999999999998</v>
          </cell>
        </row>
        <row r="138">
          <cell r="M138">
            <v>1693000</v>
          </cell>
          <cell r="AO138">
            <v>6.4630000000000001</v>
          </cell>
        </row>
        <row r="143">
          <cell r="M143">
            <v>1787.84</v>
          </cell>
          <cell r="AO143">
            <v>7.7290000000000001</v>
          </cell>
        </row>
        <row r="145">
          <cell r="M145">
            <v>935.78</v>
          </cell>
          <cell r="AO145">
            <v>8.3059999999999992</v>
          </cell>
        </row>
        <row r="147">
          <cell r="M147">
            <v>0</v>
          </cell>
          <cell r="AO147">
            <v>0</v>
          </cell>
        </row>
        <row r="154">
          <cell r="AH154">
            <v>47123.535000000003</v>
          </cell>
        </row>
        <row r="155">
          <cell r="AH155">
            <v>154.07999999999998</v>
          </cell>
        </row>
        <row r="157">
          <cell r="AH157">
            <v>5703.982</v>
          </cell>
        </row>
        <row r="158">
          <cell r="AH158">
            <v>0</v>
          </cell>
        </row>
        <row r="297">
          <cell r="M297">
            <v>1105.69</v>
          </cell>
          <cell r="AO297">
            <v>8.9030000000000005</v>
          </cell>
        </row>
        <row r="299">
          <cell r="M299">
            <v>0</v>
          </cell>
          <cell r="AO299">
            <v>0</v>
          </cell>
        </row>
        <row r="301">
          <cell r="M301">
            <v>0</v>
          </cell>
          <cell r="AO301">
            <v>0</v>
          </cell>
        </row>
        <row r="303">
          <cell r="M303">
            <v>0</v>
          </cell>
          <cell r="AO303">
            <v>0</v>
          </cell>
        </row>
        <row r="305">
          <cell r="M305">
            <v>0</v>
          </cell>
          <cell r="AO305">
            <v>0</v>
          </cell>
        </row>
        <row r="307">
          <cell r="M307">
            <v>0</v>
          </cell>
          <cell r="AO307">
            <v>0</v>
          </cell>
        </row>
        <row r="309">
          <cell r="M309">
            <v>5772653.9000000004</v>
          </cell>
          <cell r="AO309">
            <v>8.8239999999999998</v>
          </cell>
        </row>
        <row r="311">
          <cell r="M311">
            <v>0</v>
          </cell>
          <cell r="AO311">
            <v>0</v>
          </cell>
        </row>
        <row r="315">
          <cell r="AB315">
            <v>0</v>
          </cell>
        </row>
        <row r="322">
          <cell r="AI322">
            <v>8838.8449999999993</v>
          </cell>
        </row>
        <row r="323">
          <cell r="AI323">
            <v>240.07999999999998</v>
          </cell>
        </row>
        <row r="325">
          <cell r="AI325">
            <v>3239.52</v>
          </cell>
        </row>
        <row r="326">
          <cell r="AI326">
            <v>0</v>
          </cell>
        </row>
        <row r="371">
          <cell r="M371">
            <v>0</v>
          </cell>
          <cell r="AO371">
            <v>0</v>
          </cell>
        </row>
        <row r="373">
          <cell r="M373">
            <v>0</v>
          </cell>
          <cell r="AO373">
            <v>0</v>
          </cell>
        </row>
        <row r="375">
          <cell r="M375">
            <v>0</v>
          </cell>
          <cell r="AO375">
            <v>0</v>
          </cell>
        </row>
        <row r="377">
          <cell r="M377">
            <v>0</v>
          </cell>
          <cell r="AO377">
            <v>0</v>
          </cell>
        </row>
        <row r="379">
          <cell r="M379">
            <v>0</v>
          </cell>
          <cell r="AO379">
            <v>0</v>
          </cell>
        </row>
        <row r="381">
          <cell r="M381">
            <v>41</v>
          </cell>
          <cell r="AO381">
            <v>11.263999999999999</v>
          </cell>
        </row>
        <row r="383">
          <cell r="M383">
            <v>238840.5</v>
          </cell>
          <cell r="AO383">
            <v>8.8239999999999998</v>
          </cell>
        </row>
        <row r="385">
          <cell r="M385">
            <v>0</v>
          </cell>
          <cell r="AO385">
            <v>0</v>
          </cell>
        </row>
        <row r="390">
          <cell r="AB390">
            <v>0</v>
          </cell>
        </row>
        <row r="400">
          <cell r="AI400">
            <v>0</v>
          </cell>
        </row>
        <row r="401">
          <cell r="AI401">
            <v>6684.3580000000002</v>
          </cell>
        </row>
        <row r="403">
          <cell r="AI403">
            <v>0</v>
          </cell>
        </row>
        <row r="404">
          <cell r="AI404">
            <v>0</v>
          </cell>
        </row>
      </sheetData>
      <sheetData sheetId="5" refreshError="1"/>
      <sheetData sheetId="6" refreshError="1"/>
      <sheetData sheetId="7"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hnitt"/>
      <sheetName val="SEITE1"/>
      <sheetName val="SEITE2"/>
      <sheetName val="SEITE3"/>
      <sheetName val="SEITE4"/>
      <sheetName val="SEITE5"/>
      <sheetName val="SEITE6"/>
      <sheetName val="SEITE7"/>
      <sheetName val="SEITE8"/>
      <sheetName val="SEITE9"/>
      <sheetName val="SEITE10"/>
      <sheetName val="SEITE11"/>
      <sheetName val="SEITE12"/>
      <sheetName val="SEITE99"/>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ow r="5">
          <cell r="I5" t="str">
            <v>2002/03</v>
          </cell>
        </row>
      </sheetData>
    </sheetDataSet>
  </externalBook>
</externalLink>
</file>

<file path=xl/theme/theme1.xml><?xml version="1.0" encoding="utf-8"?>
<a:theme xmlns:a="http://schemas.openxmlformats.org/drawingml/2006/main" name="Agora">
  <a:themeElements>
    <a:clrScheme name="Agora 1">
      <a:dk1>
        <a:sysClr val="windowText" lastClr="000000"/>
      </a:dk1>
      <a:lt1>
        <a:sysClr val="window" lastClr="FFFFFF"/>
      </a:lt1>
      <a:dk2>
        <a:srgbClr val="000000"/>
      </a:dk2>
      <a:lt2>
        <a:srgbClr val="FFFFFF"/>
      </a:lt2>
      <a:accent1>
        <a:srgbClr val="733E88"/>
      </a:accent1>
      <a:accent2>
        <a:srgbClr val="D05094"/>
      </a:accent2>
      <a:accent3>
        <a:srgbClr val="64B9E4"/>
      </a:accent3>
      <a:accent4>
        <a:srgbClr val="1E83B3"/>
      </a:accent4>
      <a:accent5>
        <a:srgbClr val="48A8AE"/>
      </a:accent5>
      <a:accent6>
        <a:srgbClr val="8393BE"/>
      </a:accent6>
      <a:hlink>
        <a:srgbClr val="000000"/>
      </a:hlink>
      <a:folHlink>
        <a:srgbClr val="000000"/>
      </a:folHlink>
    </a:clrScheme>
    <a:fontScheme name="Agora">
      <a:majorFont>
        <a:latin typeface="Arial"/>
        <a:ea typeface=""/>
        <a:cs typeface=""/>
      </a:majorFont>
      <a:minorFont>
        <a:latin typeface="Arial"/>
        <a:ea typeface=""/>
        <a:cs typeface=""/>
      </a:minorFont>
    </a:fontScheme>
    <a:fmtScheme name="Larissa">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future-camp.de/" TargetMode="External"/><Relationship Id="rId2" Type="http://schemas.openxmlformats.org/officeDocument/2006/relationships/hyperlink" Target="mailto:info@agora-industrie.de" TargetMode="External"/><Relationship Id="rId1" Type="http://schemas.openxmlformats.org/officeDocument/2006/relationships/hyperlink" Target="http://www.agora-industrie.de/" TargetMode="External"/><Relationship Id="rId5" Type="http://schemas.openxmlformats.org/officeDocument/2006/relationships/drawing" Target="../drawings/drawing1.xml"/><Relationship Id="rId4" Type="http://schemas.openxmlformats.org/officeDocument/2006/relationships/hyperlink" Target="https://wupperinst.org/" TargetMode="External"/></Relationships>
</file>

<file path=xl/worksheets/_rels/sheet12.xml.rels><?xml version="1.0" encoding="UTF-8" standalone="yes"?>
<Relationships xmlns="http://schemas.openxmlformats.org/package/2006/relationships"><Relationship Id="rId8" Type="http://schemas.openxmlformats.org/officeDocument/2006/relationships/hyperlink" Target="https://ecra-online.org/fileadmin/redaktion/files/pdf/CSI_ECRA_Technology_Papers_2017.pdf" TargetMode="External"/><Relationship Id="rId13" Type="http://schemas.openxmlformats.org/officeDocument/2006/relationships/hyperlink" Target="https://eur-lex.europa.eu/legal-content/EN/TXT/?uri=CELEX%3A02019R0331-20190227" TargetMode="External"/><Relationship Id="rId18" Type="http://schemas.openxmlformats.org/officeDocument/2006/relationships/hyperlink" Target="https://www.agora-energiewende.de/fileadmin2/Projekte/2017/Deutsche_Braunkohlenwirtschaft/Agora_Die-deutsche-Braunkohlenwirtschaft_WEB.pdf" TargetMode="External"/><Relationship Id="rId26" Type="http://schemas.openxmlformats.org/officeDocument/2006/relationships/hyperlink" Target="https://www.cementa.se/sites/default/files/assets/document/65/de/final_cemzero_2018_public_version_2.0.pdf.pdf" TargetMode="External"/><Relationship Id="rId3" Type="http://schemas.openxmlformats.org/officeDocument/2006/relationships/hyperlink" Target="https://www.sintef.no/projectweb/cemcap/results/" TargetMode="External"/><Relationship Id="rId21" Type="http://schemas.openxmlformats.org/officeDocument/2006/relationships/hyperlink" Target="https://pubs.acs.org/doi/abs/10.1021/acs.est.5b03508" TargetMode="External"/><Relationship Id="rId7" Type="http://schemas.openxmlformats.org/officeDocument/2006/relationships/hyperlink" Target="https://ecra-online.org/fileadmin/redaktion/files/pdf/ECRA_Technical_Report_CCS_Phase_III.pdf" TargetMode="External"/><Relationship Id="rId12" Type="http://schemas.openxmlformats.org/officeDocument/2006/relationships/hyperlink" Target="https://epub.wupperinst.org/frontdoor/deliver/index/docId/7676/file/7676_Klimaneutrale_Industrie.pdf" TargetMode="External"/><Relationship Id="rId17" Type="http://schemas.openxmlformats.org/officeDocument/2006/relationships/hyperlink" Target="https://www.vdz-online.de/fileadmin/wissensportal/publikationen/forschungsergebnisse/Forschungsvorhaben_Prozesskettenorientierte_Ermittlung_der_Material-_und_Energieeffizienzpotentiale_in_der_Zementindustrie.pdf" TargetMode="External"/><Relationship Id="rId25" Type="http://schemas.openxmlformats.org/officeDocument/2006/relationships/hyperlink" Target="https://www.sciencedirect.com/science/article/pii/S1876610217319550" TargetMode="External"/><Relationship Id="rId2" Type="http://schemas.openxmlformats.org/officeDocument/2006/relationships/hyperlink" Target="https://www.naturstrom.de/privatkunden/biogas/naturstrom-biogas" TargetMode="External"/><Relationship Id="rId16" Type="http://schemas.openxmlformats.org/officeDocument/2006/relationships/hyperlink" Target="https://www.umweltbundesamt.de/en/publikationen/berichterstattung-unter-der-klimarahmenkonvention-5" TargetMode="External"/><Relationship Id="rId20" Type="http://schemas.openxmlformats.org/officeDocument/2006/relationships/hyperlink" Target="https://link.springer.com/referenceworkentry/10.1007%2F978-3-319-68255-6_142" TargetMode="External"/><Relationship Id="rId29" Type="http://schemas.openxmlformats.org/officeDocument/2006/relationships/hyperlink" Target="https://www.vdz-online.de/wissensportal/publikationen/umweltdaten-der-deutschen-zementindustrie-2017" TargetMode="External"/><Relationship Id="rId1" Type="http://schemas.openxmlformats.org/officeDocument/2006/relationships/hyperlink" Target="https://ieaghg.org/docs/General_Docs/Reports/2013-19.pdf" TargetMode="External"/><Relationship Id="rId6" Type="http://schemas.openxmlformats.org/officeDocument/2006/relationships/hyperlink" Target="https://ecra-online.org/fileadmin/redaktion/files/pdf/ECRA__Technical_Report_CCS_Phase_II.pdf" TargetMode="External"/><Relationship Id="rId11" Type="http://schemas.openxmlformats.org/officeDocument/2006/relationships/hyperlink" Target="https://reader.elsevier.com/reader/sd/pii/S0959652618326301?token=141CBDF6F88338E77A3D37AB4B08B4BBBBDD032E4E72E31BB7DB4EB5F3C4AC2DA5F87F2DC7E28FABE2C99C649C1A4806" TargetMode="External"/><Relationship Id="rId24" Type="http://schemas.openxmlformats.org/officeDocument/2006/relationships/hyperlink" Target="https://www.bdew.de/media/documents/BDEW-Gaspreisanalyse_no_halbjaehrlich_Ba_online_29012021.pdf" TargetMode="External"/><Relationship Id="rId5" Type="http://schemas.openxmlformats.org/officeDocument/2006/relationships/hyperlink" Target="https://www.dehst.de/SharedDocs/downloads/DE/stationaere_anlagen/2021-2030/Ueberwachungsplan_Leitfaden.pdf?__blob=publicationFile&amp;v=6" TargetMode="External"/><Relationship Id="rId15" Type="http://schemas.openxmlformats.org/officeDocument/2006/relationships/hyperlink" Target="https://www.cmu.edu/epp/iecm/rubin/PDF%20files/2015/Pages%20from%20The%20cost%20of%20CO2%20capture%20and%20storage.pdf" TargetMode="External"/><Relationship Id="rId23" Type="http://schemas.openxmlformats.org/officeDocument/2006/relationships/hyperlink" Target="https://www.umweltbundesamt.de/sites/default/files/medien/publikation/long/3011.pdf" TargetMode="External"/><Relationship Id="rId28" Type="http://schemas.openxmlformats.org/officeDocument/2006/relationships/hyperlink" Target="https://www.vdz-online.de/wissensportal/publikationen/umweltdaten-der-deutschen-zementindustrie-2019" TargetMode="External"/><Relationship Id="rId10" Type="http://schemas.openxmlformats.org/officeDocument/2006/relationships/hyperlink" Target="https://www.sciencedirect.com/science/article/abs/pii/S095965261400540X" TargetMode="External"/><Relationship Id="rId19" Type="http://schemas.openxmlformats.org/officeDocument/2006/relationships/hyperlink" Target="https://www.globalccsinstitute.com/archive/hub/publications/17011/costs-co2-capture-transport-and-storage.pdf" TargetMode="External"/><Relationship Id="rId4" Type="http://schemas.openxmlformats.org/officeDocument/2006/relationships/hyperlink" Target="https://www.sintef.no/projectweb/cemcap/results/" TargetMode="External"/><Relationship Id="rId9" Type="http://schemas.openxmlformats.org/officeDocument/2006/relationships/hyperlink" Target="https://static.agora-energiewende.de/fileadmin2/Projekte/2020/2020_10_KNDE/A-EW_195_KNDE_WEB_V111.pdf" TargetMode="External"/><Relationship Id="rId14" Type="http://schemas.openxmlformats.org/officeDocument/2006/relationships/hyperlink" Target="https://op.europa.eu/en/publication-detail/-/publication/25d79153-02b6-4370-974c-2a45baf79167/language-de" TargetMode="External"/><Relationship Id="rId22" Type="http://schemas.openxmlformats.org/officeDocument/2006/relationships/hyperlink" Target="https://www.opisnet.com/wp-content/uploads/2019/03/McCloskey-Coal-Report.pdf" TargetMode="External"/><Relationship Id="rId27" Type="http://schemas.openxmlformats.org/officeDocument/2006/relationships/hyperlink" Target="https://www.bundesfinanzministerium.de/Content/DE/Standardartikel/Themen/Steuern/Weitere_Steuerthemen/Betriebspruefung/AfA-Tabellen/AfA-Tabelle_Zementindustrie.html" TargetMode="External"/><Relationship Id="rId30" Type="http://schemas.openxmlformats.org/officeDocument/2006/relationships/hyperlink" Target="https://www.stahl-online.de/wp-content/uploads/Schlussbericht-Studie-Low-carbon-Europe-2050_-Mai-20131.pdf"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2:R30"/>
  <sheetViews>
    <sheetView tabSelected="1" zoomScale="80" zoomScaleNormal="80" zoomScalePageLayoutView="130" workbookViewId="0"/>
  </sheetViews>
  <sheetFormatPr baseColWidth="10" defaultColWidth="9" defaultRowHeight="13.2"/>
  <cols>
    <col min="1" max="2" width="3" style="16" customWidth="1"/>
    <col min="3" max="3" width="34.3984375" style="16" customWidth="1"/>
    <col min="4" max="7" width="11.3984375" style="16" customWidth="1"/>
    <col min="8" max="8" width="33.09765625" style="16" customWidth="1"/>
    <col min="9" max="16" width="11.3984375" style="16" customWidth="1"/>
    <col min="17" max="17" width="3" style="16" customWidth="1"/>
    <col min="18" max="16384" width="9" style="16"/>
  </cols>
  <sheetData>
    <row r="2" spans="2:18" ht="103.35" customHeight="1">
      <c r="B2" s="12"/>
      <c r="C2" s="17"/>
      <c r="D2" s="17"/>
      <c r="E2" s="17"/>
      <c r="F2" s="17"/>
      <c r="G2" s="17"/>
      <c r="H2" s="17"/>
      <c r="I2" s="17"/>
      <c r="J2" s="17"/>
      <c r="K2" s="17"/>
      <c r="L2" s="17"/>
      <c r="M2" s="17"/>
      <c r="N2" s="17"/>
      <c r="O2" s="17"/>
      <c r="P2" s="17"/>
      <c r="Q2" s="17"/>
      <c r="R2" s="24"/>
    </row>
    <row r="3" spans="2:18" ht="16.350000000000001" customHeight="1">
      <c r="B3" s="12"/>
      <c r="C3" s="17"/>
      <c r="D3" s="17"/>
      <c r="E3" s="17"/>
      <c r="F3" s="17"/>
      <c r="G3" s="17"/>
      <c r="H3" s="17"/>
      <c r="I3" s="17"/>
      <c r="J3" s="17"/>
      <c r="K3" s="17"/>
      <c r="L3" s="17"/>
      <c r="M3" s="17"/>
      <c r="N3" s="17"/>
      <c r="O3" s="17"/>
      <c r="P3" s="17"/>
      <c r="Q3" s="17"/>
      <c r="R3" s="24"/>
    </row>
    <row r="4" spans="2:18" ht="17.100000000000001" customHeight="1">
      <c r="B4" s="12"/>
      <c r="C4" s="20" t="s">
        <v>214</v>
      </c>
      <c r="D4" s="17"/>
      <c r="E4" s="17"/>
      <c r="F4" s="17"/>
      <c r="G4" s="17"/>
      <c r="H4" s="17"/>
      <c r="I4" s="17"/>
      <c r="J4" s="17"/>
      <c r="K4" s="17"/>
      <c r="L4" s="17"/>
      <c r="M4" s="17"/>
      <c r="N4" s="17"/>
      <c r="O4" s="17"/>
      <c r="P4" s="17"/>
      <c r="Q4" s="17"/>
      <c r="R4" s="24"/>
    </row>
    <row r="5" spans="2:18" ht="13.8">
      <c r="B5" s="12"/>
      <c r="C5" s="18"/>
      <c r="D5" s="6"/>
      <c r="E5" s="6"/>
      <c r="F5" s="6"/>
      <c r="G5" s="6"/>
      <c r="H5" s="6"/>
      <c r="I5" s="6"/>
      <c r="J5" s="6"/>
      <c r="K5" s="6"/>
      <c r="L5" s="6"/>
      <c r="M5" s="6"/>
      <c r="N5" s="6"/>
      <c r="O5" s="6"/>
      <c r="P5" s="6"/>
      <c r="Q5" s="6"/>
      <c r="R5" s="24"/>
    </row>
    <row r="6" spans="2:18" ht="13.8">
      <c r="B6" s="12"/>
      <c r="C6" s="21"/>
      <c r="D6" s="22"/>
      <c r="E6" s="22"/>
      <c r="F6" s="22"/>
      <c r="G6" s="22"/>
      <c r="H6" s="22"/>
      <c r="I6" s="22"/>
      <c r="J6" s="22"/>
      <c r="K6" s="22"/>
      <c r="L6" s="22"/>
      <c r="M6" s="22"/>
      <c r="N6" s="25"/>
      <c r="O6" s="25"/>
      <c r="P6" s="25"/>
      <c r="Q6" s="6"/>
      <c r="R6" s="24"/>
    </row>
    <row r="7" spans="2:18" ht="17.399999999999999">
      <c r="B7" s="12"/>
      <c r="C7" s="20" t="s">
        <v>190</v>
      </c>
      <c r="D7" s="6"/>
      <c r="E7" s="6"/>
      <c r="F7" s="6"/>
      <c r="G7" s="6"/>
      <c r="H7" s="6"/>
      <c r="I7" s="6"/>
      <c r="J7" s="6"/>
      <c r="K7" s="6"/>
      <c r="L7" s="6"/>
      <c r="M7" s="6"/>
      <c r="N7" s="6"/>
      <c r="O7" s="6"/>
      <c r="P7" s="6"/>
      <c r="Q7" s="6"/>
      <c r="R7" s="24"/>
    </row>
    <row r="8" spans="2:18" ht="13.8">
      <c r="B8" s="12"/>
      <c r="C8" s="18"/>
      <c r="D8" s="6"/>
      <c r="E8" s="6"/>
      <c r="F8" s="6"/>
      <c r="G8" s="6"/>
      <c r="H8" s="6"/>
      <c r="I8" s="6"/>
      <c r="J8" s="6"/>
      <c r="K8" s="6"/>
      <c r="L8" s="6"/>
      <c r="M8" s="6"/>
      <c r="N8" s="6"/>
      <c r="O8" s="6"/>
      <c r="P8" s="6"/>
      <c r="Q8" s="6"/>
      <c r="R8" s="24"/>
    </row>
    <row r="9" spans="2:18" ht="13.8">
      <c r="B9" s="12"/>
      <c r="C9" s="19" t="s">
        <v>169</v>
      </c>
      <c r="D9" s="7" t="s">
        <v>170</v>
      </c>
      <c r="E9" s="6"/>
      <c r="F9" s="8" t="s">
        <v>171</v>
      </c>
      <c r="G9" s="7" t="s">
        <v>172</v>
      </c>
      <c r="H9" s="6"/>
      <c r="I9" s="7" t="s">
        <v>173</v>
      </c>
      <c r="J9" s="6"/>
      <c r="K9" s="7" t="s">
        <v>644</v>
      </c>
      <c r="L9" s="6"/>
      <c r="M9" s="6"/>
      <c r="N9" s="6"/>
      <c r="O9" s="6"/>
      <c r="P9" s="6"/>
      <c r="Q9" s="6"/>
      <c r="R9" s="24"/>
    </row>
    <row r="10" spans="2:18" ht="13.8">
      <c r="B10" s="12"/>
      <c r="C10" s="19"/>
      <c r="D10" s="7" t="s">
        <v>174</v>
      </c>
      <c r="E10" s="6"/>
      <c r="F10" s="6"/>
      <c r="G10" s="7" t="s">
        <v>175</v>
      </c>
      <c r="H10" s="6"/>
      <c r="I10" s="6"/>
      <c r="J10" s="6"/>
      <c r="K10" s="7" t="s">
        <v>176</v>
      </c>
      <c r="L10" s="6"/>
      <c r="M10" s="6"/>
      <c r="N10" s="6"/>
      <c r="O10" s="6"/>
      <c r="P10" s="6"/>
      <c r="Q10" s="6"/>
      <c r="R10" s="24"/>
    </row>
    <row r="11" spans="2:18" ht="13.8">
      <c r="B11" s="12"/>
      <c r="C11" s="18"/>
      <c r="D11" s="7" t="s">
        <v>177</v>
      </c>
      <c r="E11" s="6"/>
      <c r="F11" s="6"/>
      <c r="G11" s="7" t="s">
        <v>178</v>
      </c>
      <c r="H11" s="6"/>
      <c r="I11" s="6"/>
      <c r="J11" s="6"/>
      <c r="K11" s="7" t="s">
        <v>179</v>
      </c>
      <c r="L11" s="6"/>
      <c r="M11" s="6"/>
      <c r="N11" s="6"/>
      <c r="O11" s="6"/>
      <c r="P11" s="6"/>
      <c r="Q11" s="6"/>
      <c r="R11" s="24"/>
    </row>
    <row r="12" spans="2:18" ht="13.8">
      <c r="B12" s="12"/>
      <c r="C12" s="19"/>
      <c r="D12" s="9" t="s">
        <v>180</v>
      </c>
      <c r="E12" s="6"/>
      <c r="F12" s="6"/>
      <c r="G12" s="649" t="s">
        <v>181</v>
      </c>
      <c r="H12" s="6"/>
      <c r="I12" s="6"/>
      <c r="J12" s="6"/>
      <c r="K12" s="650" t="s">
        <v>643</v>
      </c>
      <c r="L12" s="6"/>
      <c r="M12" s="6"/>
      <c r="N12" s="9"/>
      <c r="O12" s="6"/>
      <c r="P12" s="6"/>
      <c r="Q12" s="6"/>
      <c r="R12" s="24"/>
    </row>
    <row r="13" spans="2:18" ht="13.8">
      <c r="B13" s="12"/>
      <c r="C13" s="18"/>
      <c r="D13" s="7"/>
      <c r="E13" s="6"/>
      <c r="F13" s="6"/>
      <c r="G13" s="7"/>
      <c r="H13" s="6"/>
      <c r="I13" s="6"/>
      <c r="J13" s="6"/>
      <c r="K13" s="6"/>
      <c r="L13" s="6"/>
      <c r="M13" s="6"/>
      <c r="N13" s="6"/>
      <c r="O13" s="6"/>
      <c r="P13" s="6"/>
      <c r="Q13" s="6"/>
      <c r="R13" s="24"/>
    </row>
    <row r="14" spans="2:18" ht="13.8">
      <c r="B14" s="12"/>
      <c r="C14" s="19" t="s">
        <v>182</v>
      </c>
      <c r="D14" s="7" t="s">
        <v>183</v>
      </c>
      <c r="E14" s="6"/>
      <c r="F14" s="6"/>
      <c r="G14" s="7" t="s">
        <v>189</v>
      </c>
      <c r="H14" s="6"/>
      <c r="I14" s="7" t="s">
        <v>381</v>
      </c>
      <c r="J14" s="6"/>
      <c r="K14" s="7" t="s">
        <v>382</v>
      </c>
      <c r="L14" s="6"/>
      <c r="M14" s="6"/>
      <c r="N14" s="6"/>
      <c r="O14" s="6"/>
      <c r="P14" s="6"/>
      <c r="Q14" s="6"/>
      <c r="R14" s="24"/>
    </row>
    <row r="15" spans="2:18" ht="13.8">
      <c r="B15" s="12"/>
      <c r="C15" s="19"/>
      <c r="D15" s="7"/>
      <c r="E15" s="6"/>
      <c r="F15" s="6"/>
      <c r="G15" s="7"/>
      <c r="H15" s="6"/>
      <c r="I15" s="7" t="s">
        <v>383</v>
      </c>
      <c r="J15" s="6"/>
      <c r="K15" s="7" t="s">
        <v>636</v>
      </c>
      <c r="L15" s="6"/>
      <c r="M15" s="6"/>
      <c r="N15" s="6"/>
      <c r="O15" s="6"/>
      <c r="P15" s="6"/>
      <c r="Q15" s="6"/>
      <c r="R15" s="24"/>
    </row>
    <row r="16" spans="2:18" ht="13.8">
      <c r="B16" s="12"/>
      <c r="C16" s="19"/>
      <c r="D16" s="7"/>
      <c r="E16" s="6"/>
      <c r="F16" s="6"/>
      <c r="G16" s="7"/>
      <c r="H16" s="6"/>
      <c r="I16" s="7"/>
      <c r="J16" s="6"/>
      <c r="K16" s="7" t="s">
        <v>407</v>
      </c>
      <c r="L16" s="6"/>
      <c r="M16" s="6"/>
      <c r="N16" s="6"/>
      <c r="O16" s="6"/>
      <c r="P16" s="6"/>
      <c r="Q16" s="6"/>
      <c r="R16" s="24"/>
    </row>
    <row r="17" spans="2:18" ht="13.8">
      <c r="B17" s="12"/>
      <c r="C17" s="19"/>
      <c r="D17" s="7"/>
      <c r="E17" s="6"/>
      <c r="F17" s="6"/>
      <c r="G17" s="7"/>
      <c r="H17" s="6"/>
      <c r="I17" s="7"/>
      <c r="J17" s="6"/>
      <c r="K17" s="7" t="s">
        <v>384</v>
      </c>
      <c r="L17" s="6"/>
      <c r="M17" s="6"/>
      <c r="N17" s="6"/>
      <c r="O17" s="6"/>
      <c r="P17" s="6"/>
      <c r="Q17" s="6"/>
      <c r="R17" s="24"/>
    </row>
    <row r="18" spans="2:18" ht="13.8">
      <c r="B18" s="12"/>
      <c r="C18" s="19"/>
      <c r="D18" s="7"/>
      <c r="E18" s="6"/>
      <c r="F18" s="6"/>
      <c r="G18" s="7"/>
      <c r="H18" s="6"/>
      <c r="I18" s="7" t="s">
        <v>385</v>
      </c>
      <c r="J18" s="6"/>
      <c r="K18" s="7" t="s">
        <v>384</v>
      </c>
      <c r="L18" s="6"/>
      <c r="M18" s="6"/>
      <c r="N18" s="6"/>
      <c r="O18" s="6"/>
      <c r="P18" s="6"/>
      <c r="Q18" s="6"/>
      <c r="R18" s="24"/>
    </row>
    <row r="19" spans="2:18" ht="13.8">
      <c r="B19" s="12"/>
      <c r="C19" s="18"/>
      <c r="D19" s="7"/>
      <c r="E19" s="6"/>
      <c r="F19" s="6"/>
      <c r="G19" s="7"/>
      <c r="H19" s="6"/>
      <c r="I19" s="7"/>
      <c r="J19" s="6"/>
      <c r="K19" s="7"/>
      <c r="L19" s="6"/>
      <c r="M19" s="6"/>
      <c r="N19" s="6"/>
      <c r="O19" s="6"/>
      <c r="P19" s="6"/>
      <c r="Q19" s="6"/>
      <c r="R19" s="24"/>
    </row>
    <row r="20" spans="2:18" ht="13.8">
      <c r="B20" s="12"/>
      <c r="C20" s="21"/>
      <c r="D20" s="23"/>
      <c r="E20" s="22"/>
      <c r="F20" s="22"/>
      <c r="G20" s="22"/>
      <c r="H20" s="22"/>
      <c r="I20" s="23"/>
      <c r="J20" s="22"/>
      <c r="K20" s="23"/>
      <c r="L20" s="22"/>
      <c r="M20" s="22"/>
      <c r="N20" s="25"/>
      <c r="O20" s="25"/>
      <c r="P20" s="25"/>
      <c r="Q20" s="6"/>
      <c r="R20" s="24"/>
    </row>
    <row r="21" spans="2:18" ht="13.8">
      <c r="B21" s="12"/>
      <c r="C21" s="18"/>
      <c r="D21" s="7"/>
      <c r="E21" s="6"/>
      <c r="F21" s="6"/>
      <c r="G21" s="6"/>
      <c r="H21" s="6"/>
      <c r="I21" s="7" t="s">
        <v>645</v>
      </c>
      <c r="J21" s="564"/>
      <c r="K21" s="563"/>
      <c r="L21" s="564"/>
      <c r="M21" s="564"/>
      <c r="N21" s="564"/>
      <c r="O21" s="6"/>
      <c r="P21" s="6"/>
      <c r="Q21" s="6"/>
      <c r="R21" s="24"/>
    </row>
    <row r="22" spans="2:18" ht="13.8">
      <c r="B22" s="12"/>
      <c r="C22" s="18"/>
      <c r="D22" s="7"/>
      <c r="E22" s="6"/>
      <c r="F22" s="6"/>
      <c r="G22" s="6"/>
      <c r="H22" s="6"/>
      <c r="I22" s="7" t="s">
        <v>184</v>
      </c>
      <c r="J22" s="564"/>
      <c r="K22" s="563"/>
      <c r="L22" s="564"/>
      <c r="M22" s="564"/>
      <c r="N22" s="564"/>
      <c r="O22" s="6"/>
      <c r="P22" s="6"/>
      <c r="Q22" s="6"/>
      <c r="R22" s="24"/>
    </row>
    <row r="23" spans="2:18" ht="13.8">
      <c r="B23" s="12"/>
      <c r="C23" s="19" t="s">
        <v>185</v>
      </c>
      <c r="D23" s="459">
        <v>44673</v>
      </c>
      <c r="E23" s="6"/>
      <c r="F23" s="6"/>
      <c r="G23" s="6"/>
      <c r="H23" s="6"/>
      <c r="I23" s="7" t="s">
        <v>542</v>
      </c>
      <c r="J23" s="564"/>
      <c r="K23" s="563"/>
      <c r="L23" s="564"/>
      <c r="M23" s="564"/>
      <c r="N23" s="564"/>
      <c r="O23" s="6"/>
      <c r="P23" s="6"/>
      <c r="Q23" s="6"/>
      <c r="R23" s="24"/>
    </row>
    <row r="24" spans="2:18" ht="13.8">
      <c r="B24" s="12"/>
      <c r="C24" s="19" t="s">
        <v>186</v>
      </c>
      <c r="D24" s="10" t="s">
        <v>541</v>
      </c>
      <c r="E24" s="6"/>
      <c r="F24" s="6"/>
      <c r="G24" s="6"/>
      <c r="H24" s="6"/>
      <c r="I24" s="6"/>
      <c r="J24" s="6"/>
      <c r="K24" s="7"/>
      <c r="L24" s="6"/>
      <c r="M24" s="6"/>
      <c r="N24" s="6"/>
      <c r="O24" s="6"/>
      <c r="P24" s="6"/>
      <c r="Q24" s="6"/>
      <c r="R24" s="24"/>
    </row>
    <row r="25" spans="2:18" ht="13.8">
      <c r="B25" s="12"/>
      <c r="C25" s="18"/>
      <c r="D25" s="6"/>
      <c r="E25" s="6"/>
      <c r="F25" s="6"/>
      <c r="G25" s="6"/>
      <c r="H25" s="6"/>
      <c r="I25" s="7" t="s">
        <v>187</v>
      </c>
      <c r="J25" s="6"/>
      <c r="K25" s="629" t="s">
        <v>642</v>
      </c>
      <c r="L25" s="564"/>
      <c r="M25" s="564"/>
      <c r="N25" s="564"/>
      <c r="O25" s="564"/>
      <c r="P25" s="6"/>
      <c r="Q25" s="6"/>
      <c r="R25" s="24"/>
    </row>
    <row r="26" spans="2:18" ht="13.8">
      <c r="B26" s="12"/>
      <c r="C26" s="19" t="s">
        <v>188</v>
      </c>
      <c r="D26" s="650" t="s">
        <v>646</v>
      </c>
      <c r="E26" s="6"/>
      <c r="F26" s="6"/>
      <c r="G26" s="6"/>
      <c r="H26" s="6"/>
      <c r="I26" s="6"/>
      <c r="J26" s="6"/>
      <c r="K26" s="629" t="s">
        <v>410</v>
      </c>
      <c r="L26" s="564"/>
      <c r="M26" s="564"/>
      <c r="N26" s="564"/>
      <c r="O26" s="564"/>
      <c r="P26" s="6"/>
      <c r="Q26" s="6"/>
      <c r="R26" s="24"/>
    </row>
    <row r="27" spans="2:18" ht="13.8">
      <c r="B27" s="12"/>
      <c r="C27" s="19"/>
      <c r="D27" s="6"/>
      <c r="E27" s="6"/>
      <c r="F27" s="6"/>
      <c r="G27" s="6"/>
      <c r="H27" s="6"/>
      <c r="I27" s="6"/>
      <c r="J27" s="6"/>
      <c r="K27" s="629" t="s">
        <v>411</v>
      </c>
      <c r="L27" s="564"/>
      <c r="M27" s="564"/>
      <c r="N27" s="564"/>
      <c r="O27" s="564"/>
      <c r="P27" s="6"/>
      <c r="Q27" s="6"/>
      <c r="R27" s="24"/>
    </row>
    <row r="28" spans="2:18" ht="13.8">
      <c r="B28" s="12"/>
      <c r="C28" s="19"/>
      <c r="D28" s="6"/>
      <c r="E28" s="6"/>
      <c r="F28" s="6"/>
      <c r="G28" s="6"/>
      <c r="H28" s="6"/>
      <c r="I28" s="6"/>
      <c r="J28" s="6"/>
      <c r="K28" s="11" t="str">
        <f>CONCATENATE("Modellversion ",D24,", Berlin, ",TEXT(D23,"TT.MM.JJ"))</f>
        <v>Modellversion 1.1, Berlin, 22.04.22</v>
      </c>
      <c r="L28" s="6"/>
      <c r="M28" s="6"/>
      <c r="N28" s="6"/>
      <c r="O28" s="6"/>
      <c r="P28" s="6"/>
      <c r="Q28" s="6"/>
      <c r="R28" s="24"/>
    </row>
    <row r="29" spans="2:18" ht="13.8">
      <c r="B29" s="12"/>
      <c r="C29" s="18"/>
      <c r="D29" s="6"/>
      <c r="E29" s="6"/>
      <c r="F29" s="6"/>
      <c r="G29" s="6"/>
      <c r="H29" s="6"/>
      <c r="I29" s="6"/>
      <c r="J29" s="6"/>
      <c r="K29" s="6"/>
      <c r="L29" s="6"/>
      <c r="M29" s="6"/>
      <c r="N29" s="6"/>
      <c r="O29" s="6"/>
      <c r="P29" s="6"/>
      <c r="Q29" s="6"/>
      <c r="R29" s="24"/>
    </row>
    <row r="30" spans="2:18">
      <c r="B30" s="12"/>
      <c r="C30" s="12"/>
      <c r="D30" s="12"/>
      <c r="E30" s="12"/>
      <c r="F30" s="12"/>
      <c r="G30" s="12"/>
      <c r="H30" s="12"/>
      <c r="I30" s="12"/>
      <c r="J30" s="12"/>
      <c r="K30" s="12"/>
      <c r="L30" s="12"/>
      <c r="M30" s="12"/>
      <c r="N30" s="12"/>
      <c r="O30" s="12"/>
      <c r="P30" s="12"/>
      <c r="Q30" s="12"/>
    </row>
  </sheetData>
  <sheetProtection algorithmName="SHA-512" hashValue="EYkBuHjzLkO+B6XlNWI5ukySARBs3sdXhC/1XN3c1+Nsb1gODlzEXraoi4B2PpYcOcfItO1edhE0KQefsQ+asQ==" saltValue="nweXvB6MCOSGvzpJqgwaMg==" spinCount="100000" sheet="1" objects="1" scenarios="1"/>
  <hyperlinks>
    <hyperlink ref="K12" r:id="rId1" xr:uid="{00000000-0004-0000-0000-000000000000}"/>
    <hyperlink ref="D26" r:id="rId2" xr:uid="{00000000-0004-0000-0000-000001000000}"/>
    <hyperlink ref="D12" r:id="rId3" xr:uid="{00000000-0004-0000-0000-000002000000}"/>
    <hyperlink ref="G12" r:id="rId4" xr:uid="{3C2D94A3-5CD8-49F4-8DDC-9B5C2AD92FA3}"/>
  </hyperlinks>
  <printOptions horizontalCentered="1"/>
  <pageMargins left="0.39370078740157483" right="0.39370078740157483" top="0.39370078740157483" bottom="0.59055118110236227" header="0.19685039370078741" footer="0.19685039370078741"/>
  <pageSetup paperSize="9" orientation="landscape" verticalDpi="601"/>
  <drawing r:id="rId5"/>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R168"/>
  <sheetViews>
    <sheetView zoomScaleNormal="100" zoomScalePageLayoutView="130" workbookViewId="0">
      <selection activeCell="E32" sqref="E32"/>
    </sheetView>
  </sheetViews>
  <sheetFormatPr baseColWidth="10" defaultColWidth="9.3984375" defaultRowHeight="13.2"/>
  <cols>
    <col min="1" max="1" width="4" style="80" customWidth="1"/>
    <col min="2" max="2" width="3.8984375" style="80" customWidth="1"/>
    <col min="3" max="3" width="48.296875" style="80" customWidth="1"/>
    <col min="4" max="4" width="23.09765625" style="355" customWidth="1"/>
    <col min="5" max="5" width="23.3984375" style="115" customWidth="1"/>
    <col min="6" max="6" width="21" style="80" customWidth="1"/>
    <col min="7" max="7" width="85.09765625" style="115" customWidth="1"/>
    <col min="8" max="8" width="3.8984375" style="80" customWidth="1"/>
    <col min="9" max="16384" width="9.3984375" style="80"/>
  </cols>
  <sheetData>
    <row r="2" spans="2:8">
      <c r="B2" s="81"/>
      <c r="C2" s="40"/>
      <c r="D2" s="329"/>
      <c r="E2" s="223"/>
      <c r="F2" s="40"/>
      <c r="G2" s="83"/>
      <c r="H2" s="81"/>
    </row>
    <row r="3" spans="2:8" ht="17.399999999999999">
      <c r="B3" s="144"/>
      <c r="C3" s="143" t="s">
        <v>229</v>
      </c>
      <c r="D3" s="309"/>
      <c r="E3" s="158"/>
      <c r="F3" s="144"/>
      <c r="G3" s="158"/>
      <c r="H3" s="144"/>
    </row>
    <row r="4" spans="2:8" ht="17.399999999999999">
      <c r="B4" s="144"/>
      <c r="C4" s="143"/>
      <c r="D4" s="309"/>
      <c r="E4" s="158"/>
      <c r="F4" s="144"/>
      <c r="G4" s="158"/>
      <c r="H4" s="144"/>
    </row>
    <row r="5" spans="2:8" ht="28.5" customHeight="1">
      <c r="B5" s="144"/>
      <c r="C5" s="665" t="s">
        <v>321</v>
      </c>
      <c r="D5" s="665"/>
      <c r="E5" s="665"/>
      <c r="F5" s="665"/>
      <c r="G5" s="665"/>
      <c r="H5" s="144"/>
    </row>
    <row r="6" spans="2:8" ht="14.85" customHeight="1">
      <c r="B6" s="144"/>
      <c r="C6" s="146"/>
      <c r="D6" s="309"/>
      <c r="E6" s="158"/>
      <c r="F6" s="144"/>
      <c r="G6" s="158"/>
      <c r="H6" s="144"/>
    </row>
    <row r="7" spans="2:8">
      <c r="B7" s="144"/>
      <c r="C7" s="144"/>
      <c r="D7" s="309"/>
      <c r="E7" s="158"/>
      <c r="F7" s="144"/>
      <c r="G7" s="158"/>
      <c r="H7" s="144"/>
    </row>
    <row r="8" spans="2:8">
      <c r="B8" s="144"/>
      <c r="C8" s="144"/>
      <c r="D8" s="309"/>
      <c r="E8" s="158"/>
      <c r="F8" s="144"/>
      <c r="G8" s="158"/>
      <c r="H8" s="144"/>
    </row>
    <row r="9" spans="2:8" ht="15.6">
      <c r="B9" s="144"/>
      <c r="C9" s="147" t="s">
        <v>45</v>
      </c>
      <c r="D9" s="309"/>
      <c r="E9" s="158"/>
      <c r="F9" s="144"/>
      <c r="G9" s="158"/>
      <c r="H9" s="144"/>
    </row>
    <row r="10" spans="2:8" ht="15.6">
      <c r="B10" s="144"/>
      <c r="C10" s="147"/>
      <c r="D10" s="309"/>
      <c r="E10" s="158"/>
      <c r="F10" s="144"/>
      <c r="G10" s="158"/>
      <c r="H10" s="144"/>
    </row>
    <row r="11" spans="2:8">
      <c r="B11" s="144"/>
      <c r="C11" s="144"/>
      <c r="D11" s="309"/>
      <c r="E11" s="158"/>
      <c r="F11" s="144"/>
      <c r="G11" s="158"/>
      <c r="H11" s="144"/>
    </row>
    <row r="12" spans="2:8" s="217" customFormat="1">
      <c r="B12" s="164"/>
      <c r="C12" s="165" t="s">
        <v>234</v>
      </c>
      <c r="D12" s="368" t="s">
        <v>231</v>
      </c>
      <c r="E12" s="405" t="s">
        <v>85</v>
      </c>
      <c r="F12" s="406"/>
      <c r="G12" s="405" t="s">
        <v>19</v>
      </c>
      <c r="H12" s="164"/>
    </row>
    <row r="13" spans="2:8" s="217" customFormat="1">
      <c r="B13" s="164"/>
      <c r="C13" s="407" t="s">
        <v>39</v>
      </c>
      <c r="D13" s="408">
        <f>'Bilanz Referenz'!D15</f>
        <v>1.6</v>
      </c>
      <c r="E13" s="409" t="s">
        <v>93</v>
      </c>
      <c r="F13" s="410"/>
      <c r="G13" s="411" t="s">
        <v>38</v>
      </c>
      <c r="H13" s="164"/>
    </row>
    <row r="14" spans="2:8">
      <c r="B14" s="144"/>
      <c r="C14" s="159"/>
      <c r="D14" s="309"/>
      <c r="E14" s="158"/>
      <c r="F14" s="144"/>
      <c r="G14" s="158"/>
      <c r="H14" s="144"/>
    </row>
    <row r="15" spans="2:8">
      <c r="B15" s="144"/>
      <c r="C15" s="159"/>
      <c r="D15" s="309"/>
      <c r="E15" s="158"/>
      <c r="F15" s="144"/>
      <c r="G15" s="158"/>
      <c r="H15" s="144"/>
    </row>
    <row r="16" spans="2:8" ht="28.8">
      <c r="B16" s="144"/>
      <c r="C16" s="162" t="s">
        <v>233</v>
      </c>
      <c r="D16" s="262" t="s">
        <v>590</v>
      </c>
      <c r="E16" s="262" t="s">
        <v>591</v>
      </c>
      <c r="F16" s="262" t="s">
        <v>619</v>
      </c>
      <c r="G16" s="166" t="s">
        <v>54</v>
      </c>
      <c r="H16" s="144"/>
    </row>
    <row r="17" spans="2:9">
      <c r="B17" s="144"/>
      <c r="C17" s="159" t="s">
        <v>34</v>
      </c>
      <c r="D17" s="330">
        <f>3.5*1/3-SUM(D18:D26)</f>
        <v>0.53316666666666679</v>
      </c>
      <c r="E17" s="356">
        <f>'Bilanz Referenz'!E21</f>
        <v>50</v>
      </c>
      <c r="F17" s="331">
        <f>'Bilanz Referenz'!F21</f>
        <v>25.5</v>
      </c>
      <c r="G17" s="158" t="s">
        <v>158</v>
      </c>
      <c r="H17" s="144"/>
    </row>
    <row r="18" spans="2:9">
      <c r="B18" s="144"/>
      <c r="C18" s="159" t="s">
        <v>25</v>
      </c>
      <c r="D18" s="331">
        <f>0.04*3.5</f>
        <v>0.14000000000000001</v>
      </c>
      <c r="E18" s="356">
        <f>'Bilanz Referenz'!E25</f>
        <v>93</v>
      </c>
      <c r="F18" s="331">
        <f>'Bilanz Referenz'!F25</f>
        <v>0</v>
      </c>
      <c r="G18" s="158" t="s">
        <v>158</v>
      </c>
      <c r="H18" s="144"/>
    </row>
    <row r="19" spans="2:9">
      <c r="B19" s="144"/>
      <c r="C19" s="159" t="s">
        <v>26</v>
      </c>
      <c r="D19" s="331">
        <f>0.1*3.5</f>
        <v>0.35000000000000003</v>
      </c>
      <c r="E19" s="356">
        <f>'Bilanz Referenz'!E29</f>
        <v>106.4</v>
      </c>
      <c r="F19" s="331">
        <f>'Bilanz Referenz'!F29</f>
        <v>0</v>
      </c>
      <c r="G19" s="158" t="s">
        <v>158</v>
      </c>
      <c r="H19" s="144"/>
    </row>
    <row r="20" spans="2:9">
      <c r="B20" s="144"/>
      <c r="C20" s="159" t="s">
        <v>27</v>
      </c>
      <c r="D20" s="330">
        <f>'Bilanz Referenz'!D32</f>
        <v>8.7500000000000008E-2</v>
      </c>
      <c r="E20" s="357">
        <f>'Bilanz Referenz'!E32</f>
        <v>104</v>
      </c>
      <c r="F20" s="331">
        <f>'Bilanz Referenz'!F32</f>
        <v>0</v>
      </c>
      <c r="G20" s="158" t="s">
        <v>158</v>
      </c>
      <c r="H20" s="144"/>
    </row>
    <row r="21" spans="2:9">
      <c r="B21" s="144"/>
      <c r="C21" s="159" t="s">
        <v>0</v>
      </c>
      <c r="D21" s="330">
        <f>'Bilanz Referenz'!D36</f>
        <v>2.4500000000000001E-2</v>
      </c>
      <c r="E21" s="356">
        <f>'Bilanz Referenz'!E36</f>
        <v>56</v>
      </c>
      <c r="F21" s="331">
        <f>'Bilanz Referenz'!F36</f>
        <v>0</v>
      </c>
      <c r="G21" s="158" t="s">
        <v>158</v>
      </c>
      <c r="H21" s="144"/>
    </row>
    <row r="22" spans="2:9">
      <c r="B22" s="144"/>
      <c r="C22" s="159" t="s">
        <v>33</v>
      </c>
      <c r="D22" s="331">
        <v>0</v>
      </c>
      <c r="E22" s="356">
        <f>'Bilanz Referenz'!E39</f>
        <v>0</v>
      </c>
      <c r="F22" s="331">
        <f>'Bilanz Referenz'!F39</f>
        <v>107.8</v>
      </c>
      <c r="G22" s="158" t="s">
        <v>158</v>
      </c>
      <c r="H22" s="144"/>
    </row>
    <row r="23" spans="2:9">
      <c r="B23" s="144"/>
      <c r="C23" s="159" t="s">
        <v>36</v>
      </c>
      <c r="D23" s="331">
        <v>0</v>
      </c>
      <c r="E23" s="395">
        <f>'Bilanz Referenz'!E42</f>
        <v>0</v>
      </c>
      <c r="F23" s="331">
        <f>'Bilanz Referenz'!F42</f>
        <v>56</v>
      </c>
      <c r="G23" s="158" t="s">
        <v>158</v>
      </c>
      <c r="H23" s="144"/>
    </row>
    <row r="24" spans="2:9">
      <c r="B24" s="144"/>
      <c r="C24" s="159" t="s">
        <v>35</v>
      </c>
      <c r="D24" s="331">
        <v>0</v>
      </c>
      <c r="E24" s="356">
        <f>'Bilanz Referenz'!E45</f>
        <v>0</v>
      </c>
      <c r="F24" s="331">
        <f>'Bilanz Referenz'!F45</f>
        <v>90.6</v>
      </c>
      <c r="G24" s="158" t="s">
        <v>158</v>
      </c>
      <c r="H24" s="144"/>
    </row>
    <row r="25" spans="2:9" ht="13.5" customHeight="1">
      <c r="B25" s="144"/>
      <c r="C25" s="159" t="s">
        <v>28</v>
      </c>
      <c r="D25" s="331">
        <f>'Bilanz Referenz'!D49</f>
        <v>3.15E-2</v>
      </c>
      <c r="E25" s="356">
        <f>'Bilanz Referenz'!E49</f>
        <v>74</v>
      </c>
      <c r="F25" s="331">
        <f>'Bilanz Referenz'!F49</f>
        <v>0</v>
      </c>
      <c r="G25" s="158" t="s">
        <v>158</v>
      </c>
      <c r="H25" s="144"/>
    </row>
    <row r="26" spans="2:9" ht="13.5" customHeight="1">
      <c r="B26" s="144"/>
      <c r="C26" s="159" t="s">
        <v>1</v>
      </c>
      <c r="D26" s="331">
        <v>0</v>
      </c>
      <c r="E26" s="356">
        <f>'Bilanz Referenz'!E52</f>
        <v>0</v>
      </c>
      <c r="F26" s="331">
        <f>'Bilanz Referenz'!F52</f>
        <v>0</v>
      </c>
      <c r="G26" s="158" t="s">
        <v>158</v>
      </c>
      <c r="H26" s="144"/>
      <c r="I26" s="49"/>
    </row>
    <row r="27" spans="2:9">
      <c r="B27" s="144"/>
      <c r="C27" s="165" t="s">
        <v>52</v>
      </c>
      <c r="D27" s="332">
        <f>SUM(D17:D26)</f>
        <v>1.1666666666666667</v>
      </c>
      <c r="E27" s="163"/>
      <c r="F27" s="162"/>
      <c r="G27" s="166" t="s">
        <v>76</v>
      </c>
      <c r="H27" s="144"/>
    </row>
    <row r="28" spans="2:9">
      <c r="B28" s="144"/>
      <c r="C28" s="146"/>
      <c r="D28" s="330"/>
      <c r="E28" s="160"/>
      <c r="F28" s="159"/>
      <c r="G28" s="158"/>
      <c r="H28" s="144"/>
    </row>
    <row r="29" spans="2:9">
      <c r="B29" s="144"/>
      <c r="C29" s="146"/>
      <c r="D29" s="330"/>
      <c r="E29" s="160"/>
      <c r="F29" s="159"/>
      <c r="G29" s="158"/>
      <c r="H29" s="144"/>
    </row>
    <row r="30" spans="2:9">
      <c r="B30" s="144"/>
      <c r="C30" s="167" t="s">
        <v>147</v>
      </c>
      <c r="D30" s="333" t="s">
        <v>231</v>
      </c>
      <c r="E30" s="169" t="s">
        <v>85</v>
      </c>
      <c r="F30" s="167"/>
      <c r="G30" s="169" t="s">
        <v>19</v>
      </c>
      <c r="H30" s="144"/>
    </row>
    <row r="31" spans="2:9" ht="26.4">
      <c r="B31" s="144"/>
      <c r="C31" s="212" t="s">
        <v>41</v>
      </c>
      <c r="D31" s="334">
        <f>'Bilanz Referenz'!D62-3</f>
        <v>84.500000000000014</v>
      </c>
      <c r="E31" s="224" t="s">
        <v>68</v>
      </c>
      <c r="F31" s="213"/>
      <c r="G31" s="214" t="s">
        <v>63</v>
      </c>
      <c r="H31" s="144"/>
    </row>
    <row r="32" spans="2:9">
      <c r="B32" s="144"/>
      <c r="C32" s="146" t="s">
        <v>353</v>
      </c>
      <c r="D32" s="331">
        <v>800</v>
      </c>
      <c r="E32" s="160" t="s">
        <v>68</v>
      </c>
      <c r="F32" s="159"/>
      <c r="G32" s="508" t="s">
        <v>368</v>
      </c>
      <c r="H32" s="144"/>
    </row>
    <row r="33" spans="2:8" ht="15.6">
      <c r="B33" s="144"/>
      <c r="C33" s="212" t="s">
        <v>620</v>
      </c>
      <c r="D33" s="334">
        <f>D35</f>
        <v>119.52572193536051</v>
      </c>
      <c r="E33" s="224" t="s">
        <v>621</v>
      </c>
      <c r="F33" s="213"/>
      <c r="G33" s="218" t="s">
        <v>323</v>
      </c>
      <c r="H33" s="144"/>
    </row>
    <row r="34" spans="2:8" s="49" customFormat="1" ht="15.6">
      <c r="B34" s="144"/>
      <c r="C34" s="215" t="s">
        <v>285</v>
      </c>
      <c r="D34" s="335">
        <v>140</v>
      </c>
      <c r="E34" s="214" t="s">
        <v>622</v>
      </c>
      <c r="F34" s="213"/>
      <c r="G34" s="214" t="s">
        <v>322</v>
      </c>
      <c r="H34" s="144"/>
    </row>
    <row r="35" spans="2:8" s="49" customFormat="1" ht="44.4">
      <c r="B35" s="144"/>
      <c r="C35" s="215" t="s">
        <v>286</v>
      </c>
      <c r="D35" s="336">
        <f>50/0.83/0.72/0.7</f>
        <v>119.52572193536051</v>
      </c>
      <c r="E35" s="214" t="s">
        <v>622</v>
      </c>
      <c r="F35" s="213"/>
      <c r="G35" s="214" t="s">
        <v>624</v>
      </c>
      <c r="H35" s="144"/>
    </row>
    <row r="36" spans="2:8" s="49" customFormat="1" ht="28.8">
      <c r="B36" s="144"/>
      <c r="C36" s="318" t="s">
        <v>623</v>
      </c>
      <c r="D36" s="390">
        <f>D31+D32</f>
        <v>884.5</v>
      </c>
      <c r="E36" s="160" t="s">
        <v>68</v>
      </c>
      <c r="F36" s="159"/>
      <c r="G36" s="158"/>
      <c r="H36" s="144"/>
    </row>
    <row r="37" spans="2:8">
      <c r="B37" s="144"/>
      <c r="C37" s="165" t="s">
        <v>47</v>
      </c>
      <c r="D37" s="337">
        <f>D31+D32+D33*(D45+D46)/10^3</f>
        <v>940.79781028877414</v>
      </c>
      <c r="E37" s="163" t="s">
        <v>68</v>
      </c>
      <c r="F37" s="162"/>
      <c r="G37" s="166"/>
      <c r="H37" s="144"/>
    </row>
    <row r="38" spans="2:8">
      <c r="B38" s="144"/>
      <c r="C38" s="146"/>
      <c r="D38" s="338"/>
      <c r="E38" s="160"/>
      <c r="F38" s="159"/>
      <c r="G38" s="158"/>
      <c r="H38" s="144"/>
    </row>
    <row r="39" spans="2:8">
      <c r="B39" s="144"/>
      <c r="C39" s="146"/>
      <c r="D39" s="338"/>
      <c r="E39" s="160"/>
      <c r="F39" s="159"/>
      <c r="G39" s="158"/>
      <c r="H39" s="144"/>
    </row>
    <row r="40" spans="2:8" ht="15.6">
      <c r="B40" s="144"/>
      <c r="C40" s="167" t="s">
        <v>608</v>
      </c>
      <c r="D40" s="333" t="s">
        <v>231</v>
      </c>
      <c r="E40" s="169" t="s">
        <v>85</v>
      </c>
      <c r="F40" s="167"/>
      <c r="G40" s="168" t="s">
        <v>19</v>
      </c>
      <c r="H40" s="144"/>
    </row>
    <row r="41" spans="2:8" ht="15.6">
      <c r="B41" s="144"/>
      <c r="C41" s="213" t="s">
        <v>609</v>
      </c>
      <c r="D41" s="339">
        <f>'Bilanz Referenz'!D75</f>
        <v>536</v>
      </c>
      <c r="E41" s="214"/>
      <c r="F41" s="216"/>
      <c r="G41" s="218" t="s">
        <v>161</v>
      </c>
      <c r="H41" s="144"/>
    </row>
    <row r="42" spans="2:8" ht="15.6">
      <c r="B42" s="144"/>
      <c r="C42" s="146" t="s">
        <v>588</v>
      </c>
      <c r="D42" s="340">
        <f>SUMPRODUCT(D17:D26,E17:E26)</f>
        <v>89.721333333333348</v>
      </c>
      <c r="E42" s="160" t="s">
        <v>604</v>
      </c>
      <c r="F42" s="144"/>
      <c r="G42" s="161" t="s">
        <v>607</v>
      </c>
      <c r="H42" s="144"/>
    </row>
    <row r="43" spans="2:8" ht="15.6">
      <c r="B43" s="144"/>
      <c r="C43" s="212" t="s">
        <v>587</v>
      </c>
      <c r="D43" s="341">
        <f>SUMPRODUCT(D17:D26,F17:F26)</f>
        <v>13.595750000000002</v>
      </c>
      <c r="E43" s="224" t="s">
        <v>604</v>
      </c>
      <c r="F43" s="216"/>
      <c r="G43" s="219" t="s">
        <v>607</v>
      </c>
      <c r="H43" s="144"/>
    </row>
    <row r="44" spans="2:8" ht="26.4">
      <c r="B44" s="144"/>
      <c r="C44" s="146" t="s">
        <v>55</v>
      </c>
      <c r="D44" s="342">
        <f>95*0.925</f>
        <v>87.875</v>
      </c>
      <c r="E44" s="160" t="s">
        <v>15</v>
      </c>
      <c r="F44" s="144"/>
      <c r="G44" s="161" t="s">
        <v>56</v>
      </c>
      <c r="H44" s="144"/>
    </row>
    <row r="45" spans="2:8" ht="15.6">
      <c r="B45" s="144"/>
      <c r="C45" s="212" t="s">
        <v>612</v>
      </c>
      <c r="D45" s="341">
        <f>(D41)*D44/100</f>
        <v>471.01</v>
      </c>
      <c r="E45" s="224" t="s">
        <v>604</v>
      </c>
      <c r="F45" s="216"/>
      <c r="G45" s="219" t="s">
        <v>625</v>
      </c>
      <c r="H45" s="144"/>
    </row>
    <row r="46" spans="2:8" ht="15.6">
      <c r="B46" s="144"/>
      <c r="C46" s="146" t="s">
        <v>611</v>
      </c>
      <c r="D46" s="340">
        <v>0</v>
      </c>
      <c r="E46" s="160" t="s">
        <v>604</v>
      </c>
      <c r="F46" s="144"/>
      <c r="G46" s="161" t="s">
        <v>324</v>
      </c>
      <c r="H46" s="144"/>
    </row>
    <row r="47" spans="2:8" ht="31.2">
      <c r="B47" s="144"/>
      <c r="C47" s="220" t="s">
        <v>48</v>
      </c>
      <c r="D47" s="343">
        <f>D41+D42-D45</f>
        <v>154.71133333333341</v>
      </c>
      <c r="E47" s="225" t="s">
        <v>604</v>
      </c>
      <c r="F47" s="221"/>
      <c r="G47" s="222" t="s">
        <v>626</v>
      </c>
      <c r="H47" s="144"/>
    </row>
    <row r="48" spans="2:8">
      <c r="B48" s="144"/>
      <c r="C48" s="144"/>
      <c r="D48" s="309"/>
      <c r="E48" s="158"/>
      <c r="F48" s="144"/>
      <c r="G48" s="158"/>
      <c r="H48" s="144"/>
    </row>
    <row r="49" spans="2:8">
      <c r="B49" s="144"/>
      <c r="C49" s="144"/>
      <c r="D49" s="309"/>
      <c r="E49" s="158"/>
      <c r="F49" s="144"/>
      <c r="G49" s="158"/>
      <c r="H49" s="144"/>
    </row>
    <row r="50" spans="2:8">
      <c r="B50" s="144"/>
      <c r="C50" s="167" t="s">
        <v>32</v>
      </c>
      <c r="D50" s="333" t="s">
        <v>231</v>
      </c>
      <c r="E50" s="169" t="s">
        <v>85</v>
      </c>
      <c r="F50" s="167"/>
      <c r="G50" s="169" t="s">
        <v>19</v>
      </c>
      <c r="H50" s="144"/>
    </row>
    <row r="51" spans="2:8">
      <c r="B51" s="144"/>
      <c r="C51" s="213" t="s">
        <v>219</v>
      </c>
      <c r="D51" s="339">
        <f>D52</f>
        <v>250.5</v>
      </c>
      <c r="E51" s="213" t="s">
        <v>254</v>
      </c>
      <c r="F51" s="216"/>
      <c r="G51" s="214"/>
      <c r="H51" s="144"/>
    </row>
    <row r="52" spans="2:8" ht="25.35" customHeight="1">
      <c r="B52" s="144"/>
      <c r="C52" s="215" t="s">
        <v>143</v>
      </c>
      <c r="D52" s="335">
        <f>'Bilanz Referenz'!D93+10+D55</f>
        <v>250.5</v>
      </c>
      <c r="E52" s="214" t="s">
        <v>254</v>
      </c>
      <c r="F52" s="216"/>
      <c r="G52" s="218" t="s">
        <v>325</v>
      </c>
      <c r="H52" s="144"/>
    </row>
    <row r="53" spans="2:8">
      <c r="B53" s="144"/>
      <c r="C53" s="159" t="s">
        <v>218</v>
      </c>
      <c r="D53" s="331">
        <f>D54</f>
        <v>50</v>
      </c>
      <c r="E53" s="159" t="s">
        <v>254</v>
      </c>
      <c r="F53" s="144"/>
      <c r="G53" s="158"/>
      <c r="H53" s="144"/>
    </row>
    <row r="54" spans="2:8" ht="15.6">
      <c r="B54" s="144"/>
      <c r="C54" s="513" t="s">
        <v>369</v>
      </c>
      <c r="D54" s="344">
        <v>50</v>
      </c>
      <c r="E54" s="144" t="s">
        <v>254</v>
      </c>
      <c r="F54" s="144"/>
      <c r="G54" s="158" t="s">
        <v>627</v>
      </c>
      <c r="H54" s="144"/>
    </row>
    <row r="55" spans="2:8" s="217" customFormat="1">
      <c r="B55" s="164"/>
      <c r="C55" s="212" t="s">
        <v>77</v>
      </c>
      <c r="D55" s="643">
        <f>'Bilanz Oxyfuel'!D85</f>
        <v>9.5</v>
      </c>
      <c r="E55" s="212" t="s">
        <v>254</v>
      </c>
      <c r="F55" s="215"/>
      <c r="G55" s="218" t="s">
        <v>326</v>
      </c>
      <c r="H55" s="164"/>
    </row>
    <row r="56" spans="2:8" ht="28.35" customHeight="1">
      <c r="B56" s="144"/>
      <c r="C56" s="167" t="s">
        <v>31</v>
      </c>
      <c r="D56" s="333">
        <f>'Bilanz Referenz'!D98*1.1</f>
        <v>22</v>
      </c>
      <c r="E56" s="169" t="s">
        <v>94</v>
      </c>
      <c r="F56" s="566"/>
      <c r="G56" s="567" t="s">
        <v>628</v>
      </c>
      <c r="H56" s="144"/>
    </row>
    <row r="57" spans="2:8">
      <c r="B57" s="144"/>
      <c r="C57" s="159"/>
      <c r="D57" s="331"/>
      <c r="E57" s="160"/>
      <c r="F57" s="159"/>
      <c r="G57" s="161"/>
      <c r="H57" s="144"/>
    </row>
    <row r="58" spans="2:8">
      <c r="C58" s="49"/>
      <c r="D58" s="345"/>
      <c r="E58" s="170"/>
      <c r="F58" s="49"/>
      <c r="G58" s="170"/>
    </row>
    <row r="59" spans="2:8">
      <c r="C59" s="171"/>
      <c r="D59" s="346"/>
      <c r="E59" s="226"/>
      <c r="F59" s="171"/>
      <c r="G59" s="170"/>
    </row>
    <row r="60" spans="2:8">
      <c r="C60" s="69"/>
      <c r="D60" s="347"/>
      <c r="E60" s="227"/>
      <c r="F60" s="69"/>
      <c r="G60" s="170"/>
    </row>
    <row r="61" spans="2:8">
      <c r="C61" s="69"/>
      <c r="D61" s="347"/>
      <c r="E61" s="227"/>
      <c r="F61" s="69"/>
      <c r="G61" s="170"/>
    </row>
    <row r="62" spans="2:8">
      <c r="C62" s="49"/>
      <c r="D62" s="345"/>
      <c r="E62" s="170"/>
      <c r="F62" s="49"/>
      <c r="G62" s="170"/>
    </row>
    <row r="63" spans="2:8">
      <c r="C63" s="49"/>
      <c r="D63" s="345"/>
      <c r="E63" s="170"/>
      <c r="F63" s="49"/>
      <c r="G63" s="170"/>
    </row>
    <row r="64" spans="2:8">
      <c r="C64" s="49"/>
      <c r="D64" s="345"/>
      <c r="E64" s="170"/>
      <c r="F64" s="49"/>
      <c r="G64" s="170"/>
    </row>
    <row r="65" spans="3:9">
      <c r="C65" s="69"/>
      <c r="D65" s="347"/>
      <c r="E65" s="227"/>
      <c r="F65" s="69"/>
      <c r="G65" s="170"/>
    </row>
    <row r="66" spans="3:9">
      <c r="C66" s="69"/>
      <c r="D66" s="347"/>
      <c r="E66" s="227"/>
      <c r="F66" s="69"/>
      <c r="G66" s="170"/>
    </row>
    <row r="67" spans="3:9">
      <c r="C67" s="69"/>
      <c r="D67" s="347"/>
      <c r="E67" s="227"/>
      <c r="F67" s="69"/>
      <c r="G67" s="172"/>
    </row>
    <row r="68" spans="3:9">
      <c r="C68" s="69"/>
      <c r="D68" s="347"/>
      <c r="E68" s="227"/>
      <c r="F68" s="69"/>
      <c r="G68" s="173"/>
    </row>
    <row r="69" spans="3:9">
      <c r="C69" s="69"/>
      <c r="D69" s="347"/>
      <c r="E69" s="227"/>
      <c r="F69" s="69"/>
      <c r="G69" s="170"/>
    </row>
    <row r="70" spans="3:9">
      <c r="C70" s="69"/>
      <c r="D70" s="347"/>
      <c r="E70" s="227"/>
      <c r="F70" s="69"/>
      <c r="G70" s="173"/>
    </row>
    <row r="71" spans="3:9">
      <c r="C71" s="49"/>
      <c r="D71" s="345"/>
      <c r="E71" s="170"/>
      <c r="F71" s="49"/>
      <c r="G71" s="174"/>
    </row>
    <row r="72" spans="3:9">
      <c r="C72" s="49"/>
      <c r="D72" s="345"/>
      <c r="E72" s="170"/>
      <c r="F72" s="49"/>
      <c r="G72" s="170"/>
    </row>
    <row r="73" spans="3:9">
      <c r="C73" s="49"/>
      <c r="D73" s="345"/>
      <c r="E73" s="170"/>
      <c r="F73" s="49"/>
      <c r="G73" s="170"/>
    </row>
    <row r="74" spans="3:9" s="49" customFormat="1">
      <c r="C74" s="69"/>
      <c r="D74" s="347"/>
      <c r="E74" s="227"/>
      <c r="F74" s="69"/>
      <c r="G74" s="170"/>
    </row>
    <row r="75" spans="3:9" s="49" customFormat="1">
      <c r="D75" s="345"/>
      <c r="E75" s="170"/>
      <c r="G75" s="170"/>
    </row>
    <row r="76" spans="3:9">
      <c r="C76" s="49"/>
      <c r="D76" s="345"/>
      <c r="E76" s="170"/>
      <c r="F76" s="49"/>
      <c r="G76" s="170"/>
    </row>
    <row r="77" spans="3:9">
      <c r="C77" s="49"/>
      <c r="D77" s="345"/>
      <c r="E77" s="170"/>
      <c r="F77" s="49"/>
      <c r="G77" s="170"/>
    </row>
    <row r="78" spans="3:9">
      <c r="C78" s="49"/>
      <c r="D78" s="345"/>
      <c r="E78" s="170"/>
      <c r="F78" s="49"/>
      <c r="G78" s="170"/>
      <c r="I78" s="49"/>
    </row>
    <row r="79" spans="3:9">
      <c r="C79" s="49"/>
      <c r="D79" s="345"/>
      <c r="E79" s="170"/>
      <c r="F79" s="49"/>
      <c r="G79" s="170"/>
      <c r="I79" s="49"/>
    </row>
    <row r="80" spans="3:9">
      <c r="C80" s="49"/>
      <c r="D80" s="345"/>
      <c r="E80" s="170"/>
      <c r="F80" s="49"/>
      <c r="G80" s="175"/>
      <c r="I80" s="49"/>
    </row>
    <row r="81" spans="3:9">
      <c r="C81" s="176"/>
      <c r="D81" s="348"/>
      <c r="E81" s="228"/>
      <c r="F81" s="176"/>
      <c r="G81" s="175"/>
      <c r="I81" s="49"/>
    </row>
    <row r="82" spans="3:9">
      <c r="C82" s="176"/>
      <c r="D82" s="348"/>
      <c r="E82" s="228"/>
      <c r="F82" s="176"/>
      <c r="G82" s="175"/>
      <c r="I82" s="49"/>
    </row>
    <row r="83" spans="3:9">
      <c r="C83" s="176"/>
      <c r="D83" s="348"/>
      <c r="E83" s="228"/>
      <c r="F83" s="176"/>
      <c r="G83" s="170"/>
    </row>
    <row r="84" spans="3:9">
      <c r="C84" s="176"/>
      <c r="D84" s="348"/>
      <c r="E84" s="228"/>
      <c r="F84" s="176"/>
      <c r="G84" s="170"/>
      <c r="I84" s="177"/>
    </row>
    <row r="85" spans="3:9">
      <c r="C85" s="49"/>
      <c r="D85" s="345"/>
      <c r="E85" s="170"/>
      <c r="F85" s="49"/>
      <c r="G85" s="175"/>
      <c r="I85" s="177"/>
    </row>
    <row r="86" spans="3:9">
      <c r="C86" s="49"/>
      <c r="D86" s="345"/>
      <c r="E86" s="170"/>
      <c r="F86" s="49"/>
      <c r="G86" s="178"/>
    </row>
    <row r="87" spans="3:9">
      <c r="C87" s="49"/>
      <c r="D87" s="345"/>
      <c r="E87" s="170"/>
      <c r="F87" s="49"/>
      <c r="G87" s="170"/>
    </row>
    <row r="88" spans="3:9">
      <c r="C88" s="179"/>
      <c r="D88" s="349"/>
      <c r="E88" s="229"/>
      <c r="F88" s="179"/>
      <c r="G88" s="170"/>
    </row>
    <row r="89" spans="3:9">
      <c r="C89" s="179"/>
      <c r="D89" s="349"/>
      <c r="E89" s="229"/>
      <c r="F89" s="179"/>
      <c r="G89" s="170"/>
    </row>
    <row r="90" spans="3:9">
      <c r="C90" s="49"/>
      <c r="D90" s="345"/>
      <c r="E90" s="170"/>
      <c r="F90" s="49"/>
      <c r="G90" s="170"/>
    </row>
    <row r="91" spans="3:9">
      <c r="C91" s="49"/>
      <c r="D91" s="345"/>
      <c r="E91" s="170"/>
      <c r="F91" s="49"/>
      <c r="G91" s="170"/>
    </row>
    <row r="92" spans="3:9">
      <c r="C92" s="176"/>
      <c r="D92" s="348"/>
      <c r="E92" s="228"/>
      <c r="F92" s="176"/>
      <c r="G92" s="170"/>
    </row>
    <row r="93" spans="3:9">
      <c r="C93" s="176"/>
      <c r="D93" s="348"/>
      <c r="E93" s="228"/>
      <c r="F93" s="176"/>
      <c r="G93" s="170"/>
    </row>
    <row r="94" spans="3:9">
      <c r="C94" s="49"/>
      <c r="D94" s="345"/>
      <c r="E94" s="170"/>
      <c r="F94" s="49"/>
      <c r="G94" s="170"/>
    </row>
    <row r="95" spans="3:9">
      <c r="C95" s="180"/>
      <c r="D95" s="350"/>
      <c r="E95" s="230"/>
      <c r="F95" s="180"/>
      <c r="G95" s="181"/>
    </row>
    <row r="96" spans="3:9">
      <c r="C96" s="182"/>
      <c r="D96" s="351"/>
      <c r="E96" s="231"/>
      <c r="F96" s="182"/>
      <c r="G96" s="181"/>
    </row>
    <row r="97" spans="3:18">
      <c r="C97" s="182"/>
      <c r="D97" s="351"/>
      <c r="E97" s="231"/>
      <c r="F97" s="182"/>
      <c r="G97" s="181"/>
    </row>
    <row r="98" spans="3:18">
      <c r="C98" s="69"/>
      <c r="D98" s="347"/>
      <c r="E98" s="227"/>
      <c r="F98" s="69"/>
      <c r="G98" s="181"/>
    </row>
    <row r="99" spans="3:18">
      <c r="C99" s="176"/>
      <c r="D99" s="348"/>
      <c r="E99" s="228"/>
      <c r="F99" s="176"/>
      <c r="G99" s="175"/>
    </row>
    <row r="100" spans="3:18">
      <c r="C100" s="69"/>
      <c r="D100" s="347"/>
      <c r="E100" s="227"/>
      <c r="F100" s="69"/>
      <c r="G100" s="175"/>
    </row>
    <row r="101" spans="3:18">
      <c r="C101" s="69"/>
      <c r="D101" s="347"/>
      <c r="E101" s="227"/>
      <c r="F101" s="69"/>
      <c r="G101" s="175"/>
    </row>
    <row r="102" spans="3:18">
      <c r="C102" s="49"/>
      <c r="D102" s="345"/>
      <c r="E102" s="170"/>
      <c r="F102" s="49"/>
      <c r="G102" s="170"/>
    </row>
    <row r="103" spans="3:18">
      <c r="C103" s="49"/>
      <c r="D103" s="345"/>
      <c r="E103" s="170"/>
      <c r="F103" s="49"/>
      <c r="G103" s="170"/>
    </row>
    <row r="104" spans="3:18">
      <c r="C104" s="49"/>
      <c r="D104" s="345"/>
      <c r="E104" s="170"/>
      <c r="F104" s="49"/>
      <c r="G104" s="170"/>
    </row>
    <row r="105" spans="3:18">
      <c r="C105" s="49"/>
      <c r="D105" s="345"/>
      <c r="E105" s="170"/>
      <c r="F105" s="49"/>
      <c r="G105" s="170"/>
      <c r="I105" s="49"/>
      <c r="J105" s="49"/>
      <c r="K105" s="49"/>
      <c r="L105" s="49"/>
      <c r="M105" s="49"/>
      <c r="N105" s="49"/>
      <c r="O105" s="49"/>
      <c r="P105" s="49"/>
      <c r="Q105" s="49"/>
      <c r="R105" s="49"/>
    </row>
    <row r="106" spans="3:18">
      <c r="C106" s="49"/>
      <c r="D106" s="345"/>
      <c r="E106" s="170"/>
      <c r="F106" s="49"/>
      <c r="G106" s="170"/>
    </row>
    <row r="107" spans="3:18">
      <c r="C107" s="49"/>
      <c r="D107" s="345"/>
      <c r="E107" s="170"/>
      <c r="F107" s="49"/>
      <c r="G107" s="170"/>
    </row>
    <row r="108" spans="3:18" ht="15.6">
      <c r="C108" s="183"/>
      <c r="D108" s="352"/>
      <c r="E108" s="232"/>
      <c r="F108" s="183"/>
      <c r="G108" s="170"/>
    </row>
    <row r="109" spans="3:18">
      <c r="C109" s="49"/>
      <c r="D109" s="345"/>
      <c r="E109" s="170"/>
      <c r="F109" s="49"/>
      <c r="G109" s="170"/>
    </row>
    <row r="110" spans="3:18">
      <c r="C110" s="179"/>
      <c r="D110" s="349"/>
      <c r="E110" s="229"/>
      <c r="F110" s="179"/>
      <c r="G110" s="170"/>
    </row>
    <row r="111" spans="3:18">
      <c r="C111" s="69"/>
      <c r="D111" s="347"/>
      <c r="E111" s="227"/>
      <c r="F111" s="69"/>
      <c r="G111" s="170"/>
    </row>
    <row r="112" spans="3:18">
      <c r="C112" s="69"/>
      <c r="D112" s="347"/>
      <c r="E112" s="227"/>
      <c r="F112" s="69"/>
      <c r="G112" s="184"/>
    </row>
    <row r="113" spans="3:7">
      <c r="C113" s="69"/>
      <c r="D113" s="347"/>
      <c r="E113" s="227"/>
      <c r="F113" s="69"/>
      <c r="G113" s="170"/>
    </row>
    <row r="114" spans="3:7">
      <c r="C114" s="69"/>
      <c r="D114" s="347"/>
      <c r="E114" s="227"/>
      <c r="F114" s="69"/>
      <c r="G114" s="170"/>
    </row>
    <row r="115" spans="3:7">
      <c r="C115" s="69"/>
      <c r="D115" s="347"/>
      <c r="E115" s="227"/>
      <c r="F115" s="69"/>
      <c r="G115" s="170"/>
    </row>
    <row r="116" spans="3:7">
      <c r="C116" s="69"/>
      <c r="D116" s="347"/>
      <c r="E116" s="227"/>
      <c r="F116" s="69"/>
      <c r="G116" s="170"/>
    </row>
    <row r="117" spans="3:7">
      <c r="C117" s="69"/>
      <c r="D117" s="347"/>
      <c r="E117" s="227"/>
      <c r="F117" s="69"/>
      <c r="G117" s="170"/>
    </row>
    <row r="118" spans="3:7">
      <c r="C118" s="69"/>
      <c r="D118" s="347"/>
      <c r="E118" s="227"/>
      <c r="F118" s="69"/>
      <c r="G118" s="170"/>
    </row>
    <row r="119" spans="3:7">
      <c r="C119" s="69"/>
      <c r="D119" s="347"/>
      <c r="E119" s="227"/>
      <c r="F119" s="69"/>
      <c r="G119" s="170"/>
    </row>
    <row r="120" spans="3:7">
      <c r="C120" s="69"/>
      <c r="D120" s="347"/>
      <c r="E120" s="227"/>
      <c r="F120" s="69"/>
      <c r="G120" s="170"/>
    </row>
    <row r="121" spans="3:7">
      <c r="C121" s="69"/>
      <c r="D121" s="347"/>
      <c r="E121" s="227"/>
      <c r="F121" s="69"/>
      <c r="G121" s="170"/>
    </row>
    <row r="122" spans="3:7">
      <c r="C122" s="69"/>
      <c r="D122" s="347"/>
      <c r="E122" s="227"/>
      <c r="F122" s="69"/>
      <c r="G122" s="170"/>
    </row>
    <row r="123" spans="3:7">
      <c r="C123" s="69"/>
      <c r="D123" s="347"/>
      <c r="E123" s="227"/>
      <c r="F123" s="69"/>
      <c r="G123" s="170"/>
    </row>
    <row r="124" spans="3:7">
      <c r="C124" s="69"/>
      <c r="D124" s="347"/>
      <c r="E124" s="227"/>
      <c r="F124" s="69"/>
      <c r="G124" s="170"/>
    </row>
    <row r="125" spans="3:7">
      <c r="C125" s="69"/>
      <c r="D125" s="347"/>
      <c r="E125" s="227"/>
      <c r="F125" s="69"/>
      <c r="G125" s="170"/>
    </row>
    <row r="126" spans="3:7">
      <c r="C126" s="69"/>
      <c r="D126" s="347"/>
      <c r="E126" s="227"/>
      <c r="F126" s="69"/>
      <c r="G126" s="170"/>
    </row>
    <row r="127" spans="3:7">
      <c r="C127" s="69"/>
      <c r="D127" s="347"/>
      <c r="E127" s="227"/>
      <c r="F127" s="69"/>
      <c r="G127" s="170"/>
    </row>
    <row r="128" spans="3:7">
      <c r="C128" s="69"/>
      <c r="D128" s="347"/>
      <c r="E128" s="227"/>
      <c r="F128" s="69"/>
      <c r="G128" s="173"/>
    </row>
    <row r="129" spans="3:7">
      <c r="C129" s="69"/>
      <c r="D129" s="347"/>
      <c r="E129" s="227"/>
      <c r="F129" s="69"/>
      <c r="G129" s="170"/>
    </row>
    <row r="130" spans="3:7">
      <c r="C130" s="69"/>
      <c r="D130" s="347"/>
      <c r="E130" s="227"/>
      <c r="F130" s="69"/>
      <c r="G130" s="170"/>
    </row>
    <row r="131" spans="3:7">
      <c r="C131" s="69"/>
      <c r="D131" s="347"/>
      <c r="E131" s="227"/>
      <c r="F131" s="69"/>
      <c r="G131" s="170"/>
    </row>
    <row r="132" spans="3:7">
      <c r="C132" s="69"/>
      <c r="D132" s="347"/>
      <c r="E132" s="227"/>
      <c r="F132" s="69"/>
      <c r="G132" s="170"/>
    </row>
    <row r="133" spans="3:7">
      <c r="C133" s="69"/>
      <c r="D133" s="347"/>
      <c r="E133" s="227"/>
      <c r="F133" s="69"/>
      <c r="G133" s="170"/>
    </row>
    <row r="134" spans="3:7">
      <c r="C134" s="49"/>
      <c r="D134" s="345"/>
      <c r="E134" s="170"/>
      <c r="F134" s="49"/>
      <c r="G134" s="170"/>
    </row>
    <row r="135" spans="3:7">
      <c r="C135" s="69"/>
      <c r="D135" s="347"/>
      <c r="E135" s="227"/>
      <c r="F135" s="69"/>
      <c r="G135" s="170"/>
    </row>
    <row r="136" spans="3:7">
      <c r="C136" s="49"/>
      <c r="D136" s="345"/>
      <c r="E136" s="170"/>
      <c r="F136" s="49"/>
      <c r="G136" s="170"/>
    </row>
    <row r="137" spans="3:7">
      <c r="C137" s="49"/>
      <c r="D137" s="345"/>
      <c r="E137" s="170"/>
      <c r="F137" s="49"/>
      <c r="G137" s="170"/>
    </row>
    <row r="138" spans="3:7">
      <c r="C138" s="49"/>
      <c r="D138" s="345"/>
      <c r="E138" s="170"/>
      <c r="F138" s="49"/>
      <c r="G138" s="170"/>
    </row>
    <row r="139" spans="3:7">
      <c r="C139" s="49"/>
      <c r="D139" s="345"/>
      <c r="E139" s="170"/>
      <c r="F139" s="49"/>
      <c r="G139" s="170"/>
    </row>
    <row r="140" spans="3:7">
      <c r="C140" s="49"/>
      <c r="D140" s="345"/>
      <c r="E140" s="170"/>
      <c r="F140" s="49"/>
      <c r="G140" s="170"/>
    </row>
    <row r="141" spans="3:7">
      <c r="C141" s="49"/>
      <c r="D141" s="345"/>
      <c r="E141" s="170"/>
      <c r="F141" s="49"/>
      <c r="G141" s="170"/>
    </row>
    <row r="142" spans="3:7">
      <c r="C142" s="49"/>
      <c r="D142" s="345"/>
      <c r="E142" s="170"/>
      <c r="F142" s="49"/>
      <c r="G142" s="170"/>
    </row>
    <row r="143" spans="3:7">
      <c r="C143" s="49"/>
      <c r="D143" s="345"/>
      <c r="E143" s="170"/>
      <c r="F143" s="49"/>
      <c r="G143" s="170"/>
    </row>
    <row r="144" spans="3:7">
      <c r="C144" s="69"/>
      <c r="D144" s="347"/>
      <c r="E144" s="227"/>
      <c r="F144" s="69"/>
      <c r="G144" s="170"/>
    </row>
    <row r="145" spans="3:7">
      <c r="C145" s="69"/>
      <c r="D145" s="347"/>
      <c r="E145" s="227"/>
      <c r="F145" s="69"/>
      <c r="G145" s="170"/>
    </row>
    <row r="146" spans="3:7">
      <c r="C146" s="69"/>
      <c r="D146" s="347"/>
      <c r="E146" s="227"/>
      <c r="F146" s="69"/>
      <c r="G146" s="170"/>
    </row>
    <row r="147" spans="3:7">
      <c r="C147" s="69"/>
      <c r="D147" s="347"/>
      <c r="E147" s="227"/>
      <c r="F147" s="69"/>
      <c r="G147" s="170"/>
    </row>
    <row r="148" spans="3:7">
      <c r="C148" s="69"/>
      <c r="D148" s="347"/>
      <c r="E148" s="227"/>
      <c r="F148" s="69"/>
      <c r="G148" s="170"/>
    </row>
    <row r="149" spans="3:7" ht="14.1" customHeight="1">
      <c r="C149" s="69"/>
      <c r="D149" s="347"/>
      <c r="E149" s="227"/>
      <c r="F149" s="69"/>
      <c r="G149" s="170"/>
    </row>
    <row r="150" spans="3:7" ht="14.1" customHeight="1">
      <c r="C150" s="69"/>
      <c r="D150" s="347"/>
      <c r="E150" s="227"/>
      <c r="F150" s="69"/>
      <c r="G150" s="170"/>
    </row>
    <row r="151" spans="3:7" ht="14.1" customHeight="1">
      <c r="C151" s="49"/>
      <c r="D151" s="345"/>
      <c r="E151" s="170"/>
      <c r="F151" s="49"/>
      <c r="G151" s="170"/>
    </row>
    <row r="152" spans="3:7" ht="14.1" customHeight="1">
      <c r="C152" s="69"/>
      <c r="D152" s="347"/>
      <c r="E152" s="227"/>
      <c r="F152" s="69"/>
      <c r="G152" s="170"/>
    </row>
    <row r="153" spans="3:7" ht="14.1" customHeight="1">
      <c r="C153" s="176"/>
      <c r="D153" s="348"/>
      <c r="E153" s="228"/>
      <c r="F153" s="176"/>
      <c r="G153" s="170"/>
    </row>
    <row r="154" spans="3:7" ht="14.1" customHeight="1">
      <c r="C154" s="176"/>
      <c r="D154" s="348"/>
      <c r="E154" s="228"/>
      <c r="F154" s="176"/>
      <c r="G154" s="173"/>
    </row>
    <row r="155" spans="3:7" ht="14.1" customHeight="1">
      <c r="C155" s="49"/>
      <c r="D155" s="345"/>
      <c r="E155" s="170"/>
      <c r="F155" s="49"/>
      <c r="G155" s="170"/>
    </row>
    <row r="156" spans="3:7" ht="14.1" customHeight="1">
      <c r="C156" s="69"/>
      <c r="D156" s="347"/>
      <c r="E156" s="227"/>
      <c r="F156" s="69"/>
      <c r="G156" s="170"/>
    </row>
    <row r="157" spans="3:7" ht="14.1" customHeight="1">
      <c r="C157" s="49"/>
      <c r="D157" s="345"/>
      <c r="E157" s="170"/>
      <c r="F157" s="49"/>
      <c r="G157" s="170"/>
    </row>
    <row r="158" spans="3:7">
      <c r="C158" s="49"/>
      <c r="D158" s="345"/>
      <c r="E158" s="170"/>
      <c r="F158" s="49"/>
      <c r="G158" s="170"/>
    </row>
    <row r="159" spans="3:7">
      <c r="C159" s="49"/>
      <c r="D159" s="345"/>
      <c r="E159" s="170"/>
      <c r="F159" s="49"/>
      <c r="G159" s="170"/>
    </row>
    <row r="160" spans="3:7">
      <c r="C160" s="69"/>
      <c r="D160" s="347"/>
      <c r="E160" s="227"/>
      <c r="F160" s="69"/>
      <c r="G160" s="170"/>
    </row>
    <row r="161" spans="3:7">
      <c r="C161" s="185"/>
      <c r="D161" s="353"/>
      <c r="E161" s="186"/>
      <c r="F161" s="185"/>
      <c r="G161" s="186"/>
    </row>
    <row r="162" spans="3:7">
      <c r="C162" s="185"/>
      <c r="D162" s="353"/>
      <c r="E162" s="186"/>
      <c r="F162" s="185"/>
      <c r="G162" s="186"/>
    </row>
    <row r="163" spans="3:7">
      <c r="C163" s="187"/>
      <c r="D163" s="354"/>
      <c r="E163" s="233"/>
      <c r="F163" s="187"/>
      <c r="G163" s="188"/>
    </row>
    <row r="164" spans="3:7">
      <c r="C164" s="187"/>
      <c r="D164" s="354"/>
      <c r="E164" s="233"/>
      <c r="F164" s="187"/>
      <c r="G164" s="189"/>
    </row>
    <row r="165" spans="3:7">
      <c r="C165" s="49"/>
      <c r="D165" s="345"/>
      <c r="E165" s="170"/>
      <c r="F165" s="49"/>
      <c r="G165" s="170"/>
    </row>
    <row r="166" spans="3:7">
      <c r="C166" s="69"/>
      <c r="D166" s="347"/>
      <c r="E166" s="227"/>
      <c r="F166" s="69"/>
      <c r="G166" s="170"/>
    </row>
    <row r="167" spans="3:7">
      <c r="C167" s="69"/>
      <c r="D167" s="347"/>
      <c r="E167" s="227"/>
      <c r="F167" s="69"/>
      <c r="G167" s="170"/>
    </row>
    <row r="168" spans="3:7">
      <c r="C168" s="49"/>
      <c r="D168" s="345"/>
      <c r="E168" s="170"/>
      <c r="F168" s="49"/>
      <c r="G168" s="170"/>
    </row>
  </sheetData>
  <sheetProtection algorithmName="SHA-512" hashValue="fN9dz22wuRZYXdsf1oEhiA+yK+8r9zCCLw0anVLPXfYp2HY/eIAdSRXD75lzYZy4mZbdUdhJuvNe5gGYTBtEXQ==" saltValue="XkLHywwd6NVPpHHx9lWo0Q==" spinCount="100000" sheet="1" objects="1" scenarios="1"/>
  <mergeCells count="1">
    <mergeCell ref="C5:G5"/>
  </mergeCells>
  <conditionalFormatting sqref="C17:G27">
    <cfRule type="expression" dxfId="12" priority="1">
      <formula>MOD(ROW(),2)=0</formula>
    </cfRule>
  </conditionalFormatting>
  <pageMargins left="0.7" right="0.7" top="0.75" bottom="0.75" header="0.3" footer="0.3"/>
  <pageSetup orientation="portrait" verticalDpi="601"/>
  <ignoredErrors>
    <ignoredError sqref="D52" formula="1"/>
  </ignoredErrors>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T44"/>
  <sheetViews>
    <sheetView zoomScaleNormal="100" zoomScalePageLayoutView="115" workbookViewId="0"/>
  </sheetViews>
  <sheetFormatPr baseColWidth="10" defaultColWidth="9.3984375" defaultRowHeight="13.2"/>
  <cols>
    <col min="1" max="1" width="3.59765625" style="16" customWidth="1"/>
    <col min="2" max="2" width="4.09765625" style="16" customWidth="1"/>
    <col min="3" max="3" width="47" style="16" customWidth="1"/>
    <col min="4" max="4" width="30.3984375" style="16" bestFit="1" customWidth="1"/>
    <col min="5" max="5" width="19.69921875" style="16" customWidth="1"/>
    <col min="6" max="6" width="9.3984375" style="16"/>
    <col min="7" max="7" width="16.3984375" style="313" customWidth="1"/>
    <col min="8" max="8" width="9.3984375" style="16"/>
    <col min="9" max="9" width="10.3984375" style="16" bestFit="1" customWidth="1"/>
    <col min="10" max="10" width="26.8984375" style="16" customWidth="1"/>
    <col min="11" max="11" width="8.3984375" style="16" customWidth="1"/>
    <col min="12" max="12" width="113.8984375" style="16" bestFit="1" customWidth="1"/>
    <col min="13" max="15" width="9.3984375" style="16"/>
    <col min="16" max="16" width="51.3984375" style="16" customWidth="1"/>
    <col min="17" max="16384" width="9.3984375" style="16"/>
  </cols>
  <sheetData>
    <row r="2" spans="2:17" s="80" customFormat="1">
      <c r="B2" s="81"/>
      <c r="C2" s="83"/>
      <c r="D2" s="83"/>
      <c r="E2" s="81"/>
      <c r="F2" s="81"/>
      <c r="G2" s="310"/>
      <c r="H2" s="81"/>
      <c r="I2" s="81"/>
      <c r="J2" s="81"/>
      <c r="K2" s="81"/>
      <c r="L2" s="81"/>
      <c r="M2" s="81"/>
      <c r="N2" s="81"/>
      <c r="O2" s="81"/>
      <c r="P2" s="81"/>
      <c r="Q2" s="81"/>
    </row>
    <row r="3" spans="2:17" s="80" customFormat="1" ht="17.399999999999999">
      <c r="B3" s="81"/>
      <c r="C3" s="84" t="s">
        <v>226</v>
      </c>
      <c r="D3" s="84"/>
      <c r="E3" s="81"/>
      <c r="F3" s="81"/>
      <c r="G3" s="310"/>
      <c r="H3" s="81"/>
      <c r="I3" s="81"/>
      <c r="J3" s="81"/>
      <c r="K3" s="81"/>
      <c r="L3" s="81"/>
      <c r="M3" s="81"/>
      <c r="N3" s="81"/>
      <c r="O3" s="81"/>
      <c r="P3" s="81"/>
      <c r="Q3" s="81"/>
    </row>
    <row r="4" spans="2:17" s="80" customFormat="1" ht="17.399999999999999">
      <c r="B4" s="81"/>
      <c r="C4" s="83"/>
      <c r="D4" s="84"/>
      <c r="E4" s="81"/>
      <c r="F4" s="81"/>
      <c r="G4" s="310"/>
      <c r="H4" s="81"/>
      <c r="I4" s="81"/>
      <c r="J4" s="81"/>
      <c r="K4" s="81"/>
      <c r="L4" s="81"/>
      <c r="M4" s="81"/>
      <c r="N4" s="81"/>
      <c r="O4" s="81"/>
      <c r="P4" s="81"/>
      <c r="Q4" s="81"/>
    </row>
    <row r="5" spans="2:17" s="80" customFormat="1" ht="109.35" customHeight="1">
      <c r="B5" s="81"/>
      <c r="C5" s="83" t="s">
        <v>227</v>
      </c>
      <c r="D5" s="85"/>
      <c r="E5" s="81"/>
      <c r="F5" s="81"/>
      <c r="G5" s="310"/>
      <c r="H5" s="81"/>
      <c r="I5" s="81"/>
      <c r="J5" s="81"/>
      <c r="K5" s="81"/>
      <c r="L5" s="81"/>
      <c r="M5" s="81"/>
      <c r="N5" s="81"/>
      <c r="O5" s="81"/>
      <c r="P5" s="81"/>
      <c r="Q5" s="81"/>
    </row>
    <row r="6" spans="2:17" s="37" customFormat="1">
      <c r="B6" s="86"/>
      <c r="C6" s="86"/>
      <c r="D6" s="86"/>
      <c r="E6" s="86"/>
      <c r="F6" s="86"/>
      <c r="G6" s="295"/>
      <c r="H6" s="86"/>
      <c r="I6" s="86"/>
      <c r="J6" s="86"/>
      <c r="K6" s="86"/>
      <c r="L6" s="86"/>
      <c r="M6" s="86"/>
      <c r="N6" s="86"/>
      <c r="O6" s="86"/>
      <c r="P6" s="86"/>
      <c r="Q6" s="86"/>
    </row>
    <row r="7" spans="2:17" s="74" customFormat="1">
      <c r="B7" s="36"/>
      <c r="C7" s="86"/>
      <c r="D7" s="86"/>
      <c r="E7" s="86"/>
      <c r="F7" s="653" t="s">
        <v>194</v>
      </c>
      <c r="G7" s="653"/>
      <c r="H7" s="653"/>
      <c r="I7" s="653"/>
      <c r="J7" s="667"/>
      <c r="K7" s="667"/>
      <c r="L7" s="86"/>
      <c r="M7" s="141" t="s">
        <v>196</v>
      </c>
      <c r="N7" s="141"/>
      <c r="O7" s="141"/>
      <c r="P7" s="141"/>
      <c r="Q7" s="36"/>
    </row>
    <row r="8" spans="2:17" s="74" customFormat="1">
      <c r="B8" s="36"/>
      <c r="C8" s="101" t="s">
        <v>228</v>
      </c>
      <c r="D8" s="101" t="s">
        <v>211</v>
      </c>
      <c r="E8" s="101" t="s">
        <v>85</v>
      </c>
      <c r="F8" s="101">
        <v>2020</v>
      </c>
      <c r="G8" s="311">
        <v>2030</v>
      </c>
      <c r="H8" s="101">
        <v>2040</v>
      </c>
      <c r="I8" s="101">
        <v>2050</v>
      </c>
      <c r="J8" s="669" t="s">
        <v>195</v>
      </c>
      <c r="K8" s="669"/>
      <c r="L8" s="101" t="s">
        <v>19</v>
      </c>
      <c r="M8" s="101" t="s">
        <v>197</v>
      </c>
      <c r="N8" s="101" t="s">
        <v>198</v>
      </c>
      <c r="O8" s="101" t="s">
        <v>85</v>
      </c>
      <c r="P8" s="101" t="s">
        <v>199</v>
      </c>
      <c r="Q8" s="36"/>
    </row>
    <row r="9" spans="2:17">
      <c r="B9" s="12"/>
      <c r="C9" s="86" t="s">
        <v>50</v>
      </c>
      <c r="D9" s="88" t="s">
        <v>131</v>
      </c>
      <c r="E9" s="76" t="s">
        <v>12</v>
      </c>
      <c r="F9" s="76">
        <v>10.44</v>
      </c>
      <c r="G9" s="91"/>
      <c r="H9" s="76"/>
      <c r="I9" s="76"/>
      <c r="J9" s="94">
        <f>F9/16.7*3.6</f>
        <v>2.2505389221556884</v>
      </c>
      <c r="K9" s="2" t="s">
        <v>8</v>
      </c>
      <c r="L9" s="90" t="s">
        <v>260</v>
      </c>
      <c r="M9" s="89">
        <f>J9</f>
        <v>2.2505389221556884</v>
      </c>
      <c r="N9" s="89">
        <f>25/16.7*3.6</f>
        <v>5.3892215568862278</v>
      </c>
      <c r="O9" s="89" t="s">
        <v>8</v>
      </c>
      <c r="P9" s="76" t="s">
        <v>200</v>
      </c>
      <c r="Q9" s="12"/>
    </row>
    <row r="10" spans="2:17">
      <c r="B10" s="12"/>
      <c r="C10" s="86" t="s">
        <v>49</v>
      </c>
      <c r="D10" s="76" t="s">
        <v>131</v>
      </c>
      <c r="E10" s="76" t="s">
        <v>241</v>
      </c>
      <c r="F10" s="76">
        <v>2.68</v>
      </c>
      <c r="G10" s="91"/>
      <c r="H10" s="76"/>
      <c r="I10" s="76"/>
      <c r="J10" s="94">
        <f>F10*3.6</f>
        <v>9.6480000000000015</v>
      </c>
      <c r="K10" s="2" t="s">
        <v>8</v>
      </c>
      <c r="L10" s="76"/>
      <c r="M10" s="76"/>
      <c r="N10" s="76"/>
      <c r="O10" s="76"/>
      <c r="P10" s="76"/>
      <c r="Q10" s="12"/>
    </row>
    <row r="11" spans="2:17">
      <c r="B11" s="12"/>
      <c r="C11" s="86" t="s">
        <v>26</v>
      </c>
      <c r="D11" s="76" t="s">
        <v>136</v>
      </c>
      <c r="E11" s="76" t="s">
        <v>8</v>
      </c>
      <c r="F11" s="76">
        <v>6.2</v>
      </c>
      <c r="G11" s="91"/>
      <c r="H11" s="76"/>
      <c r="I11" s="76"/>
      <c r="J11" s="94">
        <f>F11</f>
        <v>6.2</v>
      </c>
      <c r="K11" s="2" t="s">
        <v>8</v>
      </c>
      <c r="L11" s="76"/>
      <c r="M11" s="76"/>
      <c r="N11" s="76"/>
      <c r="O11" s="76"/>
      <c r="P11" s="76"/>
      <c r="Q11" s="12"/>
    </row>
    <row r="12" spans="2:17">
      <c r="B12" s="12"/>
      <c r="C12" s="86" t="s">
        <v>27</v>
      </c>
      <c r="D12" s="88" t="s">
        <v>262</v>
      </c>
      <c r="E12" s="76" t="s">
        <v>72</v>
      </c>
      <c r="F12" s="76">
        <v>35.5</v>
      </c>
      <c r="G12" s="91"/>
      <c r="H12" s="76"/>
      <c r="I12" s="76"/>
      <c r="J12" s="460">
        <f>F12*1.1*0.82/31.359*3.6</f>
        <v>3.6759973213431549</v>
      </c>
      <c r="K12" s="2" t="s">
        <v>8</v>
      </c>
      <c r="L12" s="90" t="s">
        <v>261</v>
      </c>
      <c r="M12" s="76"/>
      <c r="N12" s="76"/>
      <c r="O12" s="76"/>
      <c r="P12" s="76"/>
      <c r="Q12" s="12"/>
    </row>
    <row r="13" spans="2:17">
      <c r="B13" s="12"/>
      <c r="C13" s="86" t="s">
        <v>0</v>
      </c>
      <c r="D13" s="87" t="s">
        <v>305</v>
      </c>
      <c r="E13" s="88" t="s">
        <v>51</v>
      </c>
      <c r="F13" s="76">
        <v>6</v>
      </c>
      <c r="G13" s="91"/>
      <c r="H13" s="76"/>
      <c r="I13" s="76"/>
      <c r="J13" s="95">
        <f>F13*3.6</f>
        <v>21.6</v>
      </c>
      <c r="K13" s="2" t="s">
        <v>8</v>
      </c>
      <c r="L13" s="76"/>
      <c r="M13" s="76">
        <v>10</v>
      </c>
      <c r="N13" s="76">
        <v>30</v>
      </c>
      <c r="O13" s="89" t="s">
        <v>8</v>
      </c>
      <c r="P13" s="76" t="s">
        <v>307</v>
      </c>
      <c r="Q13" s="12"/>
    </row>
    <row r="14" spans="2:17">
      <c r="B14" s="12"/>
      <c r="C14" s="86" t="s">
        <v>33</v>
      </c>
      <c r="D14" s="76" t="s">
        <v>70</v>
      </c>
      <c r="E14" s="88" t="s">
        <v>12</v>
      </c>
      <c r="F14" s="76">
        <v>100</v>
      </c>
      <c r="G14" s="91"/>
      <c r="H14" s="76"/>
      <c r="I14" s="76"/>
      <c r="J14" s="94">
        <f>100/4.1</f>
        <v>24.390243902439025</v>
      </c>
      <c r="K14" s="2" t="s">
        <v>8</v>
      </c>
      <c r="L14" s="76" t="s">
        <v>217</v>
      </c>
      <c r="M14" s="76"/>
      <c r="N14" s="76"/>
      <c r="O14" s="76"/>
      <c r="P14" s="76"/>
      <c r="Q14" s="12"/>
    </row>
    <row r="15" spans="2:17">
      <c r="B15" s="12"/>
      <c r="C15" s="86" t="s">
        <v>20</v>
      </c>
      <c r="D15" s="76" t="s">
        <v>272</v>
      </c>
      <c r="E15" s="88" t="s">
        <v>8</v>
      </c>
      <c r="F15" s="76"/>
      <c r="G15" s="91"/>
      <c r="H15" s="76"/>
      <c r="I15" s="76">
        <v>57</v>
      </c>
      <c r="J15" s="94">
        <f>I15</f>
        <v>57</v>
      </c>
      <c r="K15" s="2" t="s">
        <v>8</v>
      </c>
      <c r="L15" s="76"/>
      <c r="M15" s="76"/>
      <c r="N15" s="76"/>
      <c r="O15" s="76"/>
      <c r="P15" s="76"/>
      <c r="Q15" s="12"/>
    </row>
    <row r="16" spans="2:17">
      <c r="B16" s="12"/>
      <c r="C16" s="86" t="s">
        <v>35</v>
      </c>
      <c r="D16" s="76" t="s">
        <v>152</v>
      </c>
      <c r="E16" s="88" t="s">
        <v>11</v>
      </c>
      <c r="F16" s="76">
        <v>3.53</v>
      </c>
      <c r="G16" s="91"/>
      <c r="H16" s="76"/>
      <c r="I16" s="76"/>
      <c r="J16" s="314">
        <f>F16/100/1000*10^6/0.7</f>
        <v>50.428571428571431</v>
      </c>
      <c r="K16" s="2" t="s">
        <v>8</v>
      </c>
      <c r="L16" s="90" t="s">
        <v>246</v>
      </c>
      <c r="M16" s="76"/>
      <c r="N16" s="76"/>
      <c r="O16" s="76"/>
      <c r="P16" s="76"/>
      <c r="Q16" s="12"/>
    </row>
    <row r="17" spans="2:20">
      <c r="B17" s="12"/>
      <c r="C17" s="86" t="s">
        <v>28</v>
      </c>
      <c r="D17" s="88" t="s">
        <v>370</v>
      </c>
      <c r="E17" s="88" t="s">
        <v>78</v>
      </c>
      <c r="F17" s="76">
        <v>30</v>
      </c>
      <c r="G17" s="91"/>
      <c r="H17" s="76"/>
      <c r="I17" s="76"/>
      <c r="J17" s="314">
        <f>F17/100/9.8/1000*10^6</f>
        <v>30.612244897959183</v>
      </c>
      <c r="K17" s="2" t="s">
        <v>8</v>
      </c>
      <c r="L17" s="88" t="s">
        <v>79</v>
      </c>
      <c r="M17" s="76"/>
      <c r="N17" s="76"/>
      <c r="O17" s="76"/>
      <c r="P17" s="76"/>
      <c r="Q17" s="12"/>
    </row>
    <row r="18" spans="2:20">
      <c r="B18" s="12"/>
      <c r="C18" s="86" t="s">
        <v>10</v>
      </c>
      <c r="D18" s="76" t="s">
        <v>265</v>
      </c>
      <c r="E18" s="88" t="s">
        <v>11</v>
      </c>
      <c r="F18" s="76">
        <v>17</v>
      </c>
      <c r="G18" s="91">
        <v>14</v>
      </c>
      <c r="H18" s="76"/>
      <c r="I18" s="76">
        <v>11</v>
      </c>
      <c r="J18" s="314">
        <f>G18/100/1000*10^6/0.847</f>
        <v>165.28925619834715</v>
      </c>
      <c r="K18" s="2" t="s">
        <v>8</v>
      </c>
      <c r="L18" s="35" t="s">
        <v>263</v>
      </c>
      <c r="M18" s="79">
        <v>110</v>
      </c>
      <c r="N18" s="76">
        <v>170</v>
      </c>
      <c r="O18" s="76" t="s">
        <v>8</v>
      </c>
      <c r="P18" s="76" t="s">
        <v>201</v>
      </c>
      <c r="Q18" s="12"/>
    </row>
    <row r="19" spans="2:20">
      <c r="B19" s="12"/>
      <c r="C19" s="86" t="s">
        <v>2</v>
      </c>
      <c r="D19" s="87" t="s">
        <v>16</v>
      </c>
      <c r="E19" s="76" t="s">
        <v>8</v>
      </c>
      <c r="F19" s="309" t="s">
        <v>13</v>
      </c>
      <c r="G19" s="91"/>
      <c r="H19" s="91"/>
      <c r="I19" s="91"/>
      <c r="J19" s="97">
        <f>F21</f>
        <v>50</v>
      </c>
      <c r="K19" s="98" t="s">
        <v>8</v>
      </c>
      <c r="L19" s="76" t="s">
        <v>202</v>
      </c>
      <c r="M19" s="76">
        <v>40</v>
      </c>
      <c r="N19" s="76">
        <v>100</v>
      </c>
      <c r="O19" s="76" t="s">
        <v>252</v>
      </c>
      <c r="P19" s="76" t="s">
        <v>203</v>
      </c>
      <c r="Q19" s="12"/>
    </row>
    <row r="20" spans="2:20">
      <c r="B20" s="12"/>
      <c r="C20" s="86"/>
      <c r="D20" s="87" t="s">
        <v>272</v>
      </c>
      <c r="E20" s="76" t="s">
        <v>8</v>
      </c>
      <c r="F20" s="76"/>
      <c r="G20" s="91" t="s">
        <v>21</v>
      </c>
      <c r="H20" s="91"/>
      <c r="I20" s="91" t="s">
        <v>22</v>
      </c>
      <c r="J20" s="96"/>
      <c r="K20" s="96"/>
      <c r="L20" s="76"/>
      <c r="M20" s="76"/>
      <c r="N20" s="76"/>
      <c r="O20" s="76"/>
      <c r="P20" s="76"/>
      <c r="Q20" s="12"/>
    </row>
    <row r="21" spans="2:20">
      <c r="B21" s="12"/>
      <c r="C21" s="86"/>
      <c r="D21" s="87" t="s">
        <v>285</v>
      </c>
      <c r="E21" s="76" t="s">
        <v>8</v>
      </c>
      <c r="F21" s="88">
        <v>50</v>
      </c>
      <c r="G21" s="91"/>
      <c r="H21" s="91"/>
      <c r="I21" s="91"/>
      <c r="J21" s="97"/>
      <c r="K21" s="97"/>
      <c r="L21" s="76"/>
      <c r="M21" s="76"/>
      <c r="N21" s="76"/>
      <c r="O21" s="76"/>
      <c r="P21" s="76"/>
      <c r="Q21" s="12"/>
    </row>
    <row r="22" spans="2:20">
      <c r="B22" s="12"/>
      <c r="C22" s="86"/>
      <c r="D22" s="76" t="s">
        <v>306</v>
      </c>
      <c r="E22" s="76" t="s">
        <v>8</v>
      </c>
      <c r="F22" s="76">
        <v>58.1</v>
      </c>
      <c r="G22" s="91"/>
      <c r="H22" s="76"/>
      <c r="I22" s="76"/>
      <c r="J22" s="95"/>
      <c r="K22" s="95"/>
      <c r="L22" s="76"/>
      <c r="M22" s="76"/>
      <c r="N22" s="76"/>
      <c r="O22" s="76"/>
      <c r="P22" s="76"/>
      <c r="Q22" s="12"/>
    </row>
    <row r="23" spans="2:20" ht="14.1" customHeight="1">
      <c r="B23" s="12"/>
      <c r="C23" s="86"/>
      <c r="D23" s="76" t="s">
        <v>132</v>
      </c>
      <c r="E23" s="76" t="s">
        <v>8</v>
      </c>
      <c r="F23" s="76">
        <v>80</v>
      </c>
      <c r="G23" s="91"/>
      <c r="H23" s="76"/>
      <c r="I23" s="76"/>
      <c r="J23" s="1"/>
      <c r="K23" s="1"/>
      <c r="L23" s="76"/>
      <c r="M23" s="76"/>
      <c r="N23" s="76"/>
      <c r="O23" s="76"/>
      <c r="P23" s="76"/>
      <c r="Q23" s="12"/>
    </row>
    <row r="24" spans="2:20">
      <c r="B24" s="12"/>
      <c r="C24" s="4" t="s">
        <v>39</v>
      </c>
      <c r="D24" s="104" t="s">
        <v>306</v>
      </c>
      <c r="E24" s="3" t="s">
        <v>230</v>
      </c>
      <c r="F24" s="3">
        <v>5</v>
      </c>
      <c r="G24" s="265"/>
      <c r="H24" s="3"/>
      <c r="I24" s="3"/>
      <c r="J24" s="95">
        <f>F24</f>
        <v>5</v>
      </c>
      <c r="K24" s="95" t="s">
        <v>12</v>
      </c>
      <c r="L24" s="3"/>
      <c r="M24" s="3"/>
      <c r="N24" s="3"/>
      <c r="O24" s="3"/>
      <c r="P24" s="3"/>
      <c r="Q24" s="12"/>
    </row>
    <row r="25" spans="2:20" ht="15.6">
      <c r="B25" s="12"/>
      <c r="C25" s="86" t="s">
        <v>9</v>
      </c>
      <c r="D25" s="87" t="s">
        <v>16</v>
      </c>
      <c r="E25" s="76" t="s">
        <v>12</v>
      </c>
      <c r="F25" s="76">
        <v>60.8</v>
      </c>
      <c r="G25" s="91"/>
      <c r="H25" s="76"/>
      <c r="I25" s="76"/>
      <c r="J25" s="95">
        <f>AVERAGE(F25:F26)</f>
        <v>63.4</v>
      </c>
      <c r="K25" s="95" t="s">
        <v>629</v>
      </c>
      <c r="L25" s="76" t="s">
        <v>204</v>
      </c>
      <c r="M25" s="76"/>
      <c r="N25" s="76"/>
      <c r="O25" s="76"/>
      <c r="P25" s="76"/>
      <c r="Q25" s="12"/>
    </row>
    <row r="26" spans="2:20">
      <c r="B26" s="12"/>
      <c r="C26" s="76"/>
      <c r="D26" s="76" t="s">
        <v>130</v>
      </c>
      <c r="E26" s="76" t="s">
        <v>12</v>
      </c>
      <c r="F26" s="76">
        <v>66</v>
      </c>
      <c r="G26" s="91"/>
      <c r="H26" s="76"/>
      <c r="I26" s="76"/>
      <c r="J26" s="95"/>
      <c r="K26" s="95"/>
      <c r="L26" s="76"/>
      <c r="M26" s="76"/>
      <c r="N26" s="76"/>
      <c r="O26" s="76"/>
      <c r="P26" s="76"/>
      <c r="Q26" s="12"/>
    </row>
    <row r="27" spans="2:20">
      <c r="B27" s="12"/>
      <c r="C27" s="92" t="s">
        <v>154</v>
      </c>
      <c r="D27" s="76"/>
      <c r="E27" s="76"/>
      <c r="F27" s="76"/>
      <c r="G27" s="91"/>
      <c r="H27" s="76"/>
      <c r="I27" s="76"/>
      <c r="J27" s="95"/>
      <c r="K27" s="95"/>
      <c r="L27" s="93" t="s">
        <v>42</v>
      </c>
      <c r="M27" s="76"/>
      <c r="N27" s="76"/>
      <c r="O27" s="76"/>
      <c r="P27" s="76"/>
      <c r="Q27" s="12"/>
    </row>
    <row r="28" spans="2:20" ht="27.6">
      <c r="B28" s="12"/>
      <c r="C28" s="4" t="s">
        <v>43</v>
      </c>
      <c r="D28" s="107" t="s">
        <v>317</v>
      </c>
      <c r="E28" s="3"/>
      <c r="F28" s="108"/>
      <c r="G28" s="312"/>
      <c r="H28" s="108"/>
      <c r="I28" s="108"/>
      <c r="J28" s="99">
        <f>12+14</f>
        <v>26</v>
      </c>
      <c r="K28" s="99" t="s">
        <v>630</v>
      </c>
      <c r="L28" s="249" t="s">
        <v>318</v>
      </c>
      <c r="M28" s="5">
        <v>22</v>
      </c>
      <c r="N28" s="5"/>
      <c r="O28" s="5" t="s">
        <v>3</v>
      </c>
      <c r="P28" s="5" t="s">
        <v>207</v>
      </c>
      <c r="Q28" s="34"/>
      <c r="R28" s="82"/>
      <c r="S28" s="82"/>
      <c r="T28" s="82"/>
    </row>
    <row r="29" spans="2:20" ht="15.6">
      <c r="B29" s="12"/>
      <c r="C29" s="4"/>
      <c r="D29" s="4"/>
      <c r="E29" s="3"/>
      <c r="F29" s="108"/>
      <c r="G29" s="312"/>
      <c r="H29" s="108"/>
      <c r="I29" s="108"/>
      <c r="J29" s="99">
        <f>22+14</f>
        <v>36</v>
      </c>
      <c r="K29" s="99" t="s">
        <v>630</v>
      </c>
      <c r="L29" s="13" t="s">
        <v>206</v>
      </c>
      <c r="M29" s="5"/>
      <c r="N29" s="5">
        <v>60</v>
      </c>
      <c r="O29" s="5" t="s">
        <v>3</v>
      </c>
      <c r="P29" s="5" t="s">
        <v>205</v>
      </c>
      <c r="Q29" s="34"/>
      <c r="R29" s="82"/>
      <c r="S29" s="82"/>
      <c r="T29" s="82"/>
    </row>
    <row r="30" spans="2:20" ht="27.6">
      <c r="B30" s="12"/>
      <c r="C30" s="4"/>
      <c r="D30" s="3" t="s">
        <v>310</v>
      </c>
      <c r="E30" s="3" t="s">
        <v>630</v>
      </c>
      <c r="F30" s="107">
        <f>20*1.11</f>
        <v>22.200000000000003</v>
      </c>
      <c r="G30" s="312"/>
      <c r="H30" s="108"/>
      <c r="I30" s="108"/>
      <c r="J30" s="100"/>
      <c r="K30" s="100"/>
      <c r="L30" s="458" t="s">
        <v>319</v>
      </c>
      <c r="M30" s="5"/>
      <c r="N30" s="5"/>
      <c r="O30" s="5"/>
      <c r="P30" s="5"/>
      <c r="Q30" s="34"/>
      <c r="R30" s="82"/>
      <c r="S30" s="82"/>
      <c r="T30" s="82"/>
    </row>
    <row r="31" spans="2:20" ht="27.6">
      <c r="B31" s="12"/>
      <c r="C31" s="4"/>
      <c r="D31" s="3" t="s">
        <v>310</v>
      </c>
      <c r="E31" s="3" t="s">
        <v>630</v>
      </c>
      <c r="F31" s="107">
        <f>12*1.11</f>
        <v>13.32</v>
      </c>
      <c r="G31" s="312"/>
      <c r="H31" s="108"/>
      <c r="I31" s="108"/>
      <c r="J31" s="100"/>
      <c r="K31" s="100"/>
      <c r="L31" s="458" t="s">
        <v>320</v>
      </c>
      <c r="M31" s="5"/>
      <c r="N31" s="5"/>
      <c r="O31" s="5"/>
      <c r="P31" s="5"/>
      <c r="Q31" s="34"/>
      <c r="R31" s="82"/>
      <c r="S31" s="82"/>
      <c r="T31" s="82"/>
    </row>
    <row r="32" spans="2:20" ht="15.6">
      <c r="B32" s="12"/>
      <c r="C32" s="4"/>
      <c r="D32" s="3" t="s">
        <v>60</v>
      </c>
      <c r="E32" s="3" t="s">
        <v>631</v>
      </c>
      <c r="F32" s="109" t="s">
        <v>59</v>
      </c>
      <c r="G32" s="312"/>
      <c r="H32" s="108"/>
      <c r="I32" s="108"/>
      <c r="J32" s="100"/>
      <c r="K32" s="100"/>
      <c r="L32" s="5" t="s">
        <v>250</v>
      </c>
      <c r="M32" s="5"/>
      <c r="N32" s="5"/>
      <c r="O32" s="5"/>
      <c r="P32" s="5"/>
      <c r="Q32" s="34"/>
      <c r="R32" s="82"/>
      <c r="S32" s="82"/>
      <c r="T32" s="82"/>
    </row>
    <row r="33" spans="2:20" ht="15.6">
      <c r="B33" s="12"/>
      <c r="C33" s="110"/>
      <c r="D33" s="105" t="s">
        <v>61</v>
      </c>
      <c r="E33" s="105" t="s">
        <v>632</v>
      </c>
      <c r="F33" s="111" t="s">
        <v>62</v>
      </c>
      <c r="G33" s="106"/>
      <c r="H33" s="105"/>
      <c r="I33" s="105"/>
      <c r="J33" s="103"/>
      <c r="K33" s="103"/>
      <c r="L33" s="112" t="s">
        <v>249</v>
      </c>
      <c r="M33" s="112"/>
      <c r="N33" s="112"/>
      <c r="O33" s="112"/>
      <c r="P33" s="112"/>
      <c r="Q33" s="34"/>
      <c r="R33" s="82"/>
      <c r="S33" s="82"/>
      <c r="T33" s="82"/>
    </row>
    <row r="34" spans="2:20">
      <c r="B34" s="12"/>
      <c r="C34" s="76"/>
      <c r="D34" s="76"/>
      <c r="E34" s="76"/>
      <c r="F34" s="76"/>
      <c r="G34" s="91"/>
      <c r="H34" s="76"/>
      <c r="I34" s="76"/>
      <c r="J34" s="95"/>
      <c r="K34" s="95"/>
      <c r="L34" s="76"/>
      <c r="M34" s="76"/>
      <c r="N34" s="76"/>
      <c r="O34" s="76"/>
      <c r="P34" s="76"/>
      <c r="Q34" s="12"/>
    </row>
    <row r="35" spans="2:20" s="24" customFormat="1" ht="14.1" customHeight="1">
      <c r="B35" s="76"/>
      <c r="C35" s="86"/>
      <c r="D35" s="76"/>
      <c r="E35" s="76"/>
      <c r="F35" s="76"/>
      <c r="G35" s="295"/>
      <c r="H35" s="86"/>
      <c r="I35" s="86"/>
      <c r="J35" s="1"/>
      <c r="K35" s="1"/>
      <c r="L35" s="76"/>
      <c r="M35" s="76"/>
      <c r="N35" s="76"/>
      <c r="O35" s="76"/>
      <c r="P35" s="76"/>
      <c r="Q35" s="76"/>
    </row>
    <row r="36" spans="2:20" ht="14.1" customHeight="1">
      <c r="B36" s="12"/>
      <c r="C36" s="101" t="s">
        <v>5</v>
      </c>
      <c r="D36" s="101" t="s">
        <v>211</v>
      </c>
      <c r="E36" s="101" t="s">
        <v>85</v>
      </c>
      <c r="F36" s="102"/>
      <c r="G36" s="311"/>
      <c r="H36" s="101"/>
      <c r="I36" s="101"/>
      <c r="J36" s="668" t="s">
        <v>195</v>
      </c>
      <c r="K36" s="668"/>
      <c r="L36" s="101" t="s">
        <v>19</v>
      </c>
      <c r="M36" s="102"/>
      <c r="N36" s="102"/>
      <c r="O36" s="102"/>
      <c r="P36" s="102"/>
      <c r="Q36" s="12"/>
    </row>
    <row r="37" spans="2:20">
      <c r="B37" s="12"/>
      <c r="C37" s="86" t="s">
        <v>168</v>
      </c>
      <c r="D37" s="87" t="s">
        <v>96</v>
      </c>
      <c r="E37" s="76" t="s">
        <v>14</v>
      </c>
      <c r="F37" s="76">
        <v>10</v>
      </c>
      <c r="G37" s="91"/>
      <c r="H37" s="76"/>
      <c r="I37" s="76"/>
      <c r="J37" s="99">
        <f>F37</f>
        <v>10</v>
      </c>
      <c r="K37" s="99" t="s">
        <v>14</v>
      </c>
      <c r="L37" s="76"/>
      <c r="M37" s="76"/>
      <c r="N37" s="76"/>
      <c r="O37" s="76"/>
      <c r="P37" s="76"/>
      <c r="Q37" s="12"/>
    </row>
    <row r="38" spans="2:20">
      <c r="B38" s="12"/>
      <c r="C38" s="4" t="s">
        <v>6</v>
      </c>
      <c r="D38" s="104" t="s">
        <v>16</v>
      </c>
      <c r="E38" s="3" t="s">
        <v>15</v>
      </c>
      <c r="F38" s="3">
        <v>5</v>
      </c>
      <c r="G38" s="265"/>
      <c r="H38" s="3"/>
      <c r="I38" s="3"/>
      <c r="J38" s="95"/>
      <c r="K38" s="95"/>
      <c r="L38" s="3"/>
      <c r="M38" s="3"/>
      <c r="N38" s="3"/>
      <c r="O38" s="3"/>
      <c r="P38" s="3"/>
      <c r="Q38" s="12"/>
    </row>
    <row r="39" spans="2:20">
      <c r="B39" s="12"/>
      <c r="C39" s="105"/>
      <c r="D39" s="518" t="s">
        <v>248</v>
      </c>
      <c r="E39" s="105" t="s">
        <v>15</v>
      </c>
      <c r="F39" s="105">
        <v>10</v>
      </c>
      <c r="G39" s="106"/>
      <c r="H39" s="105"/>
      <c r="I39" s="105"/>
      <c r="J39" s="103">
        <v>8</v>
      </c>
      <c r="K39" s="103" t="s">
        <v>15</v>
      </c>
      <c r="L39" s="105" t="s">
        <v>208</v>
      </c>
      <c r="M39" s="105"/>
      <c r="N39" s="105"/>
      <c r="O39" s="105"/>
      <c r="P39" s="105"/>
      <c r="Q39" s="12"/>
    </row>
    <row r="40" spans="2:20">
      <c r="B40" s="12"/>
      <c r="C40" s="76"/>
      <c r="D40" s="76"/>
      <c r="E40" s="76"/>
      <c r="F40" s="76"/>
      <c r="G40" s="91"/>
      <c r="H40" s="76"/>
      <c r="I40" s="76"/>
      <c r="J40" s="95"/>
      <c r="K40" s="95"/>
      <c r="L40" s="76"/>
      <c r="M40" s="76"/>
      <c r="N40" s="76"/>
      <c r="O40" s="76"/>
      <c r="P40" s="76"/>
      <c r="Q40" s="12"/>
    </row>
    <row r="41" spans="2:20" s="24" customFormat="1">
      <c r="B41" s="76"/>
      <c r="C41" s="86"/>
      <c r="D41" s="86"/>
      <c r="E41" s="76"/>
      <c r="F41" s="76"/>
      <c r="G41" s="91"/>
      <c r="H41" s="76"/>
      <c r="I41" s="76"/>
      <c r="J41" s="95"/>
      <c r="K41" s="95"/>
      <c r="L41" s="76"/>
      <c r="M41" s="76"/>
      <c r="N41" s="76"/>
      <c r="O41" s="76"/>
      <c r="P41" s="76"/>
      <c r="Q41" s="76"/>
    </row>
    <row r="42" spans="2:20" s="74" customFormat="1">
      <c r="B42" s="36"/>
      <c r="C42" s="101" t="s">
        <v>97</v>
      </c>
      <c r="D42" s="101"/>
      <c r="E42" s="101"/>
      <c r="F42" s="302" t="s">
        <v>98</v>
      </c>
      <c r="G42" s="311" t="s">
        <v>100</v>
      </c>
      <c r="H42" s="302" t="s">
        <v>99</v>
      </c>
      <c r="I42" s="101" t="s">
        <v>101</v>
      </c>
      <c r="J42" s="668" t="s">
        <v>195</v>
      </c>
      <c r="K42" s="668"/>
      <c r="L42" s="101" t="s">
        <v>19</v>
      </c>
      <c r="M42" s="101"/>
      <c r="N42" s="101"/>
      <c r="O42" s="101"/>
      <c r="P42" s="101"/>
      <c r="Q42" s="36"/>
    </row>
    <row r="43" spans="2:20" s="113" customFormat="1" ht="39.6">
      <c r="B43" s="114"/>
      <c r="C43" s="303" t="s">
        <v>639</v>
      </c>
      <c r="D43" s="242" t="s">
        <v>209</v>
      </c>
      <c r="E43" s="238" t="s">
        <v>633</v>
      </c>
      <c r="F43" s="238">
        <v>0.76600000000000001</v>
      </c>
      <c r="G43" s="301">
        <v>0.69199999999999995</v>
      </c>
      <c r="H43" s="305">
        <f>F43*(1-I43*20)</f>
        <v>0.66733333333333333</v>
      </c>
      <c r="I43" s="306">
        <f>(1-G43/F43)/15</f>
        <v>6.4403829416884275E-3</v>
      </c>
      <c r="J43" s="307">
        <f>H43</f>
        <v>0.66733333333333333</v>
      </c>
      <c r="K43" s="308" t="s">
        <v>210</v>
      </c>
      <c r="L43" s="238" t="s">
        <v>247</v>
      </c>
      <c r="M43" s="238"/>
      <c r="N43" s="238"/>
      <c r="O43" s="238"/>
      <c r="P43" s="238"/>
      <c r="Q43" s="114"/>
    </row>
    <row r="44" spans="2:20">
      <c r="B44" s="12"/>
      <c r="C44" s="91"/>
      <c r="D44" s="76"/>
      <c r="E44" s="76"/>
      <c r="F44" s="76"/>
      <c r="G44" s="91"/>
      <c r="H44" s="76"/>
      <c r="I44" s="76"/>
      <c r="J44" s="76"/>
      <c r="K44" s="76"/>
      <c r="L44" s="76"/>
      <c r="M44" s="76"/>
      <c r="N44" s="76"/>
      <c r="O44" s="76"/>
      <c r="P44" s="76"/>
      <c r="Q44" s="12"/>
    </row>
  </sheetData>
  <sheetProtection algorithmName="SHA-512" hashValue="C2nYTauaxJWwe1mYKzKSeo94pti1VdwKcQnV1KSKU7qI9DYNFpK5Da6NKcBWwbm6ZHFCcsBEoXot5PDzHCX8lw==" saltValue="m8TGHEDjz4vXBHU3+jD8dw==" spinCount="100000" sheet="1" objects="1" scenarios="1"/>
  <sortState xmlns:xlrd2="http://schemas.microsoft.com/office/spreadsheetml/2017/richdata2" ref="E7:J7">
    <sortCondition sortBy="cellColor" ref="J7" dxfId="11"/>
  </sortState>
  <mergeCells count="5">
    <mergeCell ref="F7:I7"/>
    <mergeCell ref="J7:K7"/>
    <mergeCell ref="J36:K36"/>
    <mergeCell ref="J42:K42"/>
    <mergeCell ref="J8:K8"/>
  </mergeCells>
  <phoneticPr fontId="28" type="noConversion"/>
  <conditionalFormatting sqref="C9:I18 L9:P18">
    <cfRule type="expression" dxfId="10" priority="1">
      <formula>MOD(ROW(),2)=0</formula>
    </cfRule>
  </conditionalFormatting>
  <pageMargins left="0.7" right="0.7" top="0.75" bottom="0.75" header="0.3" footer="0.3"/>
  <pageSetup orientation="portrait" verticalDpi="601"/>
  <extLs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2:S49"/>
  <sheetViews>
    <sheetView zoomScaleNormal="100" zoomScalePageLayoutView="125" workbookViewId="0"/>
  </sheetViews>
  <sheetFormatPr baseColWidth="10" defaultColWidth="10.59765625" defaultRowHeight="13.2"/>
  <cols>
    <col min="1" max="1" width="2.8984375" style="68" customWidth="1"/>
    <col min="2" max="2" width="3.3984375" style="68" customWidth="1"/>
    <col min="3" max="4" width="25.3984375" style="68" customWidth="1"/>
    <col min="5" max="5" width="120" style="72" customWidth="1"/>
    <col min="6" max="6" width="74.3984375" style="72" customWidth="1"/>
    <col min="7" max="7" width="3.59765625" style="68" customWidth="1"/>
    <col min="8" max="18" width="10.59765625" style="68"/>
    <col min="19" max="19" width="44.59765625" style="68" customWidth="1"/>
    <col min="20" max="16384" width="10.59765625" style="68"/>
  </cols>
  <sheetData>
    <row r="2" spans="2:19" s="54" customFormat="1" ht="13.8">
      <c r="B2" s="51"/>
      <c r="C2" s="52"/>
      <c r="D2" s="52"/>
      <c r="E2" s="53"/>
      <c r="F2" s="53"/>
      <c r="G2" s="52"/>
    </row>
    <row r="3" spans="2:19" s="54" customFormat="1" ht="13.8">
      <c r="B3" s="51"/>
      <c r="C3" s="52"/>
      <c r="D3" s="52"/>
      <c r="E3" s="53"/>
      <c r="F3" s="53"/>
      <c r="G3" s="52"/>
    </row>
    <row r="4" spans="2:19" s="54" customFormat="1" ht="18">
      <c r="B4" s="51"/>
      <c r="C4" s="55" t="s">
        <v>224</v>
      </c>
      <c r="D4" s="55"/>
      <c r="E4" s="53"/>
      <c r="F4" s="53"/>
      <c r="G4" s="52"/>
    </row>
    <row r="5" spans="2:19" s="59" customFormat="1" ht="13.8">
      <c r="B5" s="56"/>
      <c r="C5" s="57"/>
      <c r="D5" s="57"/>
      <c r="E5" s="58"/>
      <c r="F5" s="58"/>
      <c r="G5" s="57"/>
    </row>
    <row r="6" spans="2:19" s="63" customFormat="1" ht="14.4">
      <c r="B6" s="60"/>
      <c r="C6" s="61" t="s">
        <v>221</v>
      </c>
      <c r="D6" s="61" t="s">
        <v>264</v>
      </c>
      <c r="E6" s="62" t="s">
        <v>222</v>
      </c>
      <c r="F6" s="62" t="s">
        <v>380</v>
      </c>
      <c r="G6" s="61"/>
    </row>
    <row r="7" spans="2:19" s="59" customFormat="1" ht="13.8">
      <c r="B7" s="56"/>
      <c r="C7" s="57"/>
      <c r="D7" s="57"/>
      <c r="E7" s="58"/>
      <c r="F7" s="58"/>
      <c r="G7" s="57"/>
    </row>
    <row r="8" spans="2:19" s="59" customFormat="1" ht="13.8">
      <c r="B8" s="56"/>
      <c r="C8" s="64"/>
      <c r="D8" s="64"/>
      <c r="E8" s="65"/>
      <c r="F8" s="65"/>
      <c r="G8" s="57"/>
    </row>
    <row r="9" spans="2:19" s="430" customFormat="1" ht="27.6">
      <c r="B9" s="510"/>
      <c r="C9" s="304" t="s">
        <v>245</v>
      </c>
      <c r="D9" s="427"/>
      <c r="E9" s="428"/>
      <c r="F9" s="462" t="s">
        <v>357</v>
      </c>
      <c r="G9" s="429"/>
    </row>
    <row r="10" spans="2:19" s="438" customFormat="1" ht="26.4">
      <c r="B10" s="436"/>
      <c r="C10" s="304" t="s">
        <v>251</v>
      </c>
      <c r="D10" s="424" t="s">
        <v>302</v>
      </c>
      <c r="E10" s="425" t="s">
        <v>303</v>
      </c>
      <c r="F10" s="426" t="s">
        <v>304</v>
      </c>
      <c r="G10" s="437"/>
    </row>
    <row r="11" spans="2:19" s="438" customFormat="1" ht="27.6">
      <c r="B11" s="436"/>
      <c r="C11" s="304"/>
      <c r="D11" s="413" t="s">
        <v>278</v>
      </c>
      <c r="E11" s="414" t="s">
        <v>279</v>
      </c>
      <c r="F11" s="435" t="s">
        <v>280</v>
      </c>
      <c r="G11" s="437"/>
    </row>
    <row r="12" spans="2:19" s="421" customFormat="1" ht="26.4">
      <c r="B12" s="157"/>
      <c r="C12" s="157" t="s">
        <v>40</v>
      </c>
      <c r="D12" s="157" t="s">
        <v>306</v>
      </c>
      <c r="E12" s="422" t="s">
        <v>281</v>
      </c>
      <c r="F12" s="431" t="s">
        <v>124</v>
      </c>
      <c r="G12" s="157"/>
    </row>
    <row r="13" spans="2:19" s="421" customFormat="1" ht="26.4">
      <c r="B13" s="157"/>
      <c r="C13" s="157" t="s">
        <v>125</v>
      </c>
      <c r="D13" s="157" t="s">
        <v>283</v>
      </c>
      <c r="E13" s="422" t="s">
        <v>282</v>
      </c>
      <c r="F13" s="431" t="s">
        <v>124</v>
      </c>
      <c r="G13" s="157"/>
    </row>
    <row r="14" spans="2:19" s="417" customFormat="1" ht="27.6">
      <c r="B14" s="418"/>
      <c r="C14" s="509" t="s">
        <v>133</v>
      </c>
      <c r="D14" s="509" t="s">
        <v>379</v>
      </c>
      <c r="E14" s="422" t="s">
        <v>134</v>
      </c>
      <c r="F14" s="452" t="s">
        <v>356</v>
      </c>
      <c r="G14" s="418"/>
      <c r="S14" s="420"/>
    </row>
    <row r="15" spans="2:19" s="421" customFormat="1" ht="27.6">
      <c r="B15" s="157"/>
      <c r="C15" s="157" t="s">
        <v>138</v>
      </c>
      <c r="D15" s="157" t="s">
        <v>284</v>
      </c>
      <c r="E15" s="422" t="s">
        <v>164</v>
      </c>
      <c r="F15" s="431" t="s">
        <v>142</v>
      </c>
      <c r="G15" s="157"/>
    </row>
    <row r="16" spans="2:19" ht="27.6">
      <c r="B16" s="66"/>
      <c r="C16" s="66" t="s">
        <v>310</v>
      </c>
      <c r="D16" s="66" t="s">
        <v>310</v>
      </c>
      <c r="E16" s="66" t="s">
        <v>312</v>
      </c>
      <c r="F16" s="452" t="s">
        <v>311</v>
      </c>
      <c r="G16" s="66"/>
    </row>
    <row r="17" spans="2:19" s="421" customFormat="1" ht="27.6">
      <c r="B17" s="157"/>
      <c r="C17" s="157" t="s">
        <v>244</v>
      </c>
      <c r="D17" s="157" t="s">
        <v>285</v>
      </c>
      <c r="E17" s="422" t="s">
        <v>288</v>
      </c>
      <c r="F17" s="431" t="s">
        <v>121</v>
      </c>
      <c r="G17" s="157"/>
    </row>
    <row r="18" spans="2:19" s="421" customFormat="1" ht="27.6">
      <c r="B18" s="157"/>
      <c r="C18" s="157" t="s">
        <v>243</v>
      </c>
      <c r="D18" s="157" t="s">
        <v>286</v>
      </c>
      <c r="E18" s="422" t="s">
        <v>287</v>
      </c>
      <c r="F18" s="431" t="s">
        <v>120</v>
      </c>
      <c r="G18" s="157"/>
    </row>
    <row r="19" spans="2:19" s="434" customFormat="1" ht="27" customHeight="1">
      <c r="B19" s="422"/>
      <c r="C19" s="422" t="s">
        <v>131</v>
      </c>
      <c r="D19" s="422" t="s">
        <v>131</v>
      </c>
      <c r="E19" s="422" t="s">
        <v>118</v>
      </c>
      <c r="F19" s="431" t="s">
        <v>119</v>
      </c>
      <c r="G19" s="422"/>
    </row>
    <row r="20" spans="2:19" s="421" customFormat="1" ht="15" customHeight="1">
      <c r="B20" s="157"/>
      <c r="C20" s="157"/>
      <c r="D20" s="413" t="s">
        <v>275</v>
      </c>
      <c r="E20" s="414" t="s">
        <v>276</v>
      </c>
      <c r="F20" s="435" t="s">
        <v>277</v>
      </c>
      <c r="G20" s="157"/>
    </row>
    <row r="21" spans="2:19" s="421" customFormat="1" ht="26.4">
      <c r="B21" s="157"/>
      <c r="C21" s="157" t="s">
        <v>130</v>
      </c>
      <c r="D21" s="413" t="s">
        <v>130</v>
      </c>
      <c r="E21" s="416" t="s">
        <v>268</v>
      </c>
      <c r="F21" s="415" t="s">
        <v>269</v>
      </c>
      <c r="G21" s="433"/>
    </row>
    <row r="22" spans="2:19" s="417" customFormat="1" ht="13.8">
      <c r="B22" s="418"/>
      <c r="C22" s="157" t="s">
        <v>70</v>
      </c>
      <c r="D22" s="157" t="s">
        <v>70</v>
      </c>
      <c r="E22" s="422" t="s">
        <v>165</v>
      </c>
      <c r="F22" s="452"/>
      <c r="G22" s="423"/>
    </row>
    <row r="23" spans="2:19" ht="26.4">
      <c r="B23" s="66"/>
      <c r="C23" s="66" t="s">
        <v>313</v>
      </c>
      <c r="D23" s="66" t="s">
        <v>315</v>
      </c>
      <c r="E23" s="67" t="s">
        <v>316</v>
      </c>
      <c r="F23" s="452" t="s">
        <v>314</v>
      </c>
      <c r="G23" s="66"/>
    </row>
    <row r="24" spans="2:19" s="417" customFormat="1" ht="26.4">
      <c r="B24" s="418"/>
      <c r="C24" s="512" t="s">
        <v>361</v>
      </c>
      <c r="D24" s="512" t="s">
        <v>361</v>
      </c>
      <c r="E24" s="511" t="s">
        <v>360</v>
      </c>
      <c r="F24" s="463" t="s">
        <v>354</v>
      </c>
      <c r="G24" s="66"/>
    </row>
    <row r="25" spans="2:19" s="417" customFormat="1" ht="26.4">
      <c r="B25" s="418"/>
      <c r="C25" s="157" t="s">
        <v>144</v>
      </c>
      <c r="D25" s="157" t="s">
        <v>144</v>
      </c>
      <c r="E25" s="422" t="s">
        <v>145</v>
      </c>
      <c r="F25" s="452" t="s">
        <v>355</v>
      </c>
      <c r="G25" s="418"/>
    </row>
    <row r="26" spans="2:19" s="421" customFormat="1">
      <c r="B26" s="157"/>
      <c r="C26" s="157" t="s">
        <v>132</v>
      </c>
      <c r="D26" s="157" t="s">
        <v>132</v>
      </c>
      <c r="E26" s="422" t="s">
        <v>292</v>
      </c>
      <c r="F26" s="422" t="s">
        <v>128</v>
      </c>
      <c r="G26" s="157"/>
    </row>
    <row r="27" spans="2:19" s="421" customFormat="1" ht="13.8">
      <c r="B27" s="157"/>
      <c r="C27" s="157" t="s">
        <v>242</v>
      </c>
      <c r="D27" s="157" t="s">
        <v>262</v>
      </c>
      <c r="E27" s="422" t="s">
        <v>297</v>
      </c>
      <c r="F27" s="431" t="s">
        <v>137</v>
      </c>
      <c r="G27" s="157"/>
      <c r="S27" s="48"/>
    </row>
    <row r="28" spans="2:19" s="421" customFormat="1">
      <c r="B28" s="157"/>
      <c r="C28" s="157" t="s">
        <v>152</v>
      </c>
      <c r="D28" s="157" t="s">
        <v>152</v>
      </c>
      <c r="E28" s="422" t="s">
        <v>301</v>
      </c>
      <c r="F28" s="432" t="s">
        <v>153</v>
      </c>
      <c r="G28" s="433"/>
      <c r="S28" s="48"/>
    </row>
    <row r="29" spans="2:19" s="421" customFormat="1" ht="41.4">
      <c r="B29" s="157"/>
      <c r="C29" s="157" t="s">
        <v>136</v>
      </c>
      <c r="D29" s="157" t="s">
        <v>136</v>
      </c>
      <c r="E29" s="422" t="s">
        <v>291</v>
      </c>
      <c r="F29" s="431" t="s">
        <v>135</v>
      </c>
      <c r="G29" s="157"/>
      <c r="S29" s="48"/>
    </row>
    <row r="30" spans="2:19" s="421" customFormat="1" ht="26.4">
      <c r="B30" s="157"/>
      <c r="C30" s="157" t="s">
        <v>18</v>
      </c>
      <c r="D30" s="413" t="s">
        <v>265</v>
      </c>
      <c r="E30" s="414" t="s">
        <v>266</v>
      </c>
      <c r="F30" s="415" t="s">
        <v>267</v>
      </c>
      <c r="G30" s="157"/>
    </row>
    <row r="31" spans="2:19" s="421" customFormat="1" ht="27.6">
      <c r="B31" s="157"/>
      <c r="C31" s="157" t="s">
        <v>60</v>
      </c>
      <c r="D31" s="157" t="s">
        <v>60</v>
      </c>
      <c r="E31" s="422" t="s">
        <v>290</v>
      </c>
      <c r="F31" s="431" t="s">
        <v>129</v>
      </c>
      <c r="G31" s="157"/>
    </row>
    <row r="32" spans="2:19" s="421" customFormat="1" ht="55.2">
      <c r="B32" s="157"/>
      <c r="C32" s="157" t="s">
        <v>166</v>
      </c>
      <c r="D32" s="157"/>
      <c r="E32" s="422" t="s">
        <v>126</v>
      </c>
      <c r="F32" s="431" t="s">
        <v>127</v>
      </c>
      <c r="G32" s="157"/>
    </row>
    <row r="33" spans="2:19" s="421" customFormat="1" ht="26.4">
      <c r="B33" s="157"/>
      <c r="C33" s="157" t="s">
        <v>17</v>
      </c>
      <c r="D33" s="414" t="s">
        <v>272</v>
      </c>
      <c r="E33" s="414" t="s">
        <v>273</v>
      </c>
      <c r="F33" s="415" t="s">
        <v>274</v>
      </c>
      <c r="G33" s="157"/>
    </row>
    <row r="34" spans="2:19" s="417" customFormat="1">
      <c r="B34" s="418"/>
      <c r="C34" s="157" t="s">
        <v>162</v>
      </c>
      <c r="D34" s="418"/>
      <c r="E34" s="422" t="s">
        <v>163</v>
      </c>
      <c r="F34" s="419"/>
      <c r="G34" s="418"/>
    </row>
    <row r="35" spans="2:19" s="421" customFormat="1" ht="39.6">
      <c r="B35" s="157"/>
      <c r="C35" s="157" t="s">
        <v>16</v>
      </c>
      <c r="D35" s="414" t="s">
        <v>16</v>
      </c>
      <c r="E35" s="414" t="s">
        <v>270</v>
      </c>
      <c r="F35" s="415" t="s">
        <v>271</v>
      </c>
      <c r="G35" s="157"/>
    </row>
    <row r="36" spans="2:19" s="421" customFormat="1" ht="26.4">
      <c r="B36" s="157"/>
      <c r="C36" s="157" t="s">
        <v>155</v>
      </c>
      <c r="D36" s="157" t="s">
        <v>300</v>
      </c>
      <c r="E36" s="422" t="s">
        <v>298</v>
      </c>
      <c r="F36" s="431" t="s">
        <v>299</v>
      </c>
      <c r="G36" s="157"/>
      <c r="S36" s="48"/>
    </row>
    <row r="37" spans="2:19" s="421" customFormat="1" ht="27.6">
      <c r="B37" s="157"/>
      <c r="C37" s="157" t="s">
        <v>141</v>
      </c>
      <c r="D37" s="157" t="s">
        <v>141</v>
      </c>
      <c r="E37" s="422" t="s">
        <v>289</v>
      </c>
      <c r="F37" s="431" t="s">
        <v>146</v>
      </c>
      <c r="G37" s="157"/>
    </row>
    <row r="38" spans="2:19" s="421" customFormat="1" ht="27.6">
      <c r="B38" s="157"/>
      <c r="C38" s="157" t="s">
        <v>364</v>
      </c>
      <c r="D38" s="157"/>
      <c r="E38" s="422" t="s">
        <v>366</v>
      </c>
      <c r="F38" s="452" t="s">
        <v>363</v>
      </c>
      <c r="G38" s="157"/>
    </row>
    <row r="39" spans="2:19" s="417" customFormat="1" ht="27.6">
      <c r="B39" s="418"/>
      <c r="C39" s="157" t="s">
        <v>365</v>
      </c>
      <c r="D39" s="157"/>
      <c r="E39" s="422" t="s">
        <v>359</v>
      </c>
      <c r="F39" s="452" t="s">
        <v>358</v>
      </c>
      <c r="G39" s="418"/>
    </row>
    <row r="40" spans="2:19" s="421" customFormat="1">
      <c r="B40" s="157"/>
      <c r="C40" s="422" t="s">
        <v>160</v>
      </c>
      <c r="D40" s="422" t="s">
        <v>160</v>
      </c>
      <c r="E40" s="422" t="s">
        <v>167</v>
      </c>
      <c r="F40" s="422"/>
      <c r="G40" s="157"/>
    </row>
    <row r="41" spans="2:19" s="421" customFormat="1" ht="27.6">
      <c r="B41" s="157"/>
      <c r="C41" s="422" t="s">
        <v>399</v>
      </c>
      <c r="D41" s="422" t="s">
        <v>399</v>
      </c>
      <c r="E41" s="422" t="s">
        <v>400</v>
      </c>
      <c r="F41" s="517" t="s">
        <v>401</v>
      </c>
      <c r="G41" s="157"/>
    </row>
    <row r="42" spans="2:19" s="421" customFormat="1" ht="27.6">
      <c r="B42" s="157"/>
      <c r="C42" s="157" t="s">
        <v>61</v>
      </c>
      <c r="D42" s="157" t="s">
        <v>61</v>
      </c>
      <c r="E42" s="422" t="s">
        <v>293</v>
      </c>
      <c r="F42" s="431" t="s">
        <v>122</v>
      </c>
      <c r="G42" s="157"/>
    </row>
    <row r="43" spans="2:19" s="421" customFormat="1" ht="26.4">
      <c r="B43" s="157"/>
      <c r="C43" s="157" t="s">
        <v>295</v>
      </c>
      <c r="D43" s="157" t="s">
        <v>296</v>
      </c>
      <c r="E43" s="422" t="s">
        <v>294</v>
      </c>
      <c r="F43" s="431" t="s">
        <v>123</v>
      </c>
      <c r="G43" s="157"/>
    </row>
    <row r="44" spans="2:19">
      <c r="B44" s="66"/>
      <c r="C44" s="66"/>
      <c r="D44" s="66"/>
      <c r="E44" s="67"/>
      <c r="F44" s="70"/>
      <c r="G44" s="71"/>
    </row>
    <row r="47" spans="2:19">
      <c r="C47" s="49"/>
      <c r="D47" s="49"/>
    </row>
    <row r="48" spans="2:19">
      <c r="C48" s="69"/>
      <c r="D48" s="69"/>
    </row>
    <row r="49" spans="3:4">
      <c r="C49" s="50"/>
      <c r="D49" s="50"/>
    </row>
  </sheetData>
  <sheetProtection algorithmName="SHA-512" hashValue="u0EY0zzASDG32kNkMIltMhLu+f8jVM4AdSdiNmZ6PSDNb7rMxdbz561OPVIi9XFpLbUeIuealv71b2fM9ACkzg==" saltValue="hGUQ5ivLv9ryK2CexNoFfg==" spinCount="100000" sheet="1" objects="1" scenarios="1"/>
  <sortState xmlns:xlrd2="http://schemas.microsoft.com/office/spreadsheetml/2017/richdata2" ref="C15:C33">
    <sortCondition ref="C15:C33"/>
  </sortState>
  <dataConsolidate/>
  <conditionalFormatting sqref="C12:F15 C31:F32 C30 C22:F22 C35 C34:F34 C33 C20:C21 C17:F19 C24:F29 C36:F40 C42:F43 C41:E41">
    <cfRule type="expression" dxfId="9" priority="21">
      <formula>MOD(ROW(),2)=0</formula>
    </cfRule>
  </conditionalFormatting>
  <conditionalFormatting sqref="D30:F30">
    <cfRule type="expression" dxfId="8" priority="19">
      <formula>MOD(ROW(),2)=0</formula>
    </cfRule>
    <cfRule type="expression" priority="20">
      <formula>MOD(COLUMN(),2)=0</formula>
    </cfRule>
  </conditionalFormatting>
  <conditionalFormatting sqref="D21:F21">
    <cfRule type="expression" dxfId="7" priority="17">
      <formula>MOD(ROW(),2)=0</formula>
    </cfRule>
    <cfRule type="expression" priority="18">
      <formula>MOD(COLUMN(),2)=0</formula>
    </cfRule>
  </conditionalFormatting>
  <conditionalFormatting sqref="D35:F35">
    <cfRule type="expression" dxfId="6" priority="15">
      <formula>MOD(ROW(),2)=0</formula>
    </cfRule>
    <cfRule type="expression" priority="16">
      <formula>MOD(COLUMN(),2)=0</formula>
    </cfRule>
  </conditionalFormatting>
  <conditionalFormatting sqref="D33:F33">
    <cfRule type="expression" dxfId="5" priority="13">
      <formula>MOD(ROW(),2)=0</formula>
    </cfRule>
    <cfRule type="expression" priority="14">
      <formula>MOD(COLUMN(),2)=0</formula>
    </cfRule>
  </conditionalFormatting>
  <conditionalFormatting sqref="D20:F20">
    <cfRule type="expression" dxfId="4" priority="11">
      <formula>MOD(ROW(),2)=0</formula>
    </cfRule>
    <cfRule type="expression" priority="12">
      <formula>MOD(COLUMN(),2)=0</formula>
    </cfRule>
  </conditionalFormatting>
  <conditionalFormatting sqref="D11:F11">
    <cfRule type="expression" dxfId="3" priority="9">
      <formula>MOD(ROW(),2)=0</formula>
    </cfRule>
    <cfRule type="expression" priority="10">
      <formula>MOD(COLUMN(),2)=0</formula>
    </cfRule>
  </conditionalFormatting>
  <conditionalFormatting sqref="C16:F16">
    <cfRule type="expression" dxfId="2" priority="6">
      <formula>MOD(ROW(),2)=0</formula>
    </cfRule>
  </conditionalFormatting>
  <conditionalFormatting sqref="C23:F23">
    <cfRule type="expression" dxfId="1" priority="5">
      <formula>MOD(ROW(),2)=0</formula>
    </cfRule>
  </conditionalFormatting>
  <conditionalFormatting sqref="F41">
    <cfRule type="expression" dxfId="0" priority="1">
      <formula>MOD(ROW(),2)=0</formula>
    </cfRule>
    <cfRule type="expression" priority="2">
      <formula>MOD(COLUMN(),2)=0</formula>
    </cfRule>
  </conditionalFormatting>
  <hyperlinks>
    <hyperlink ref="F26" r:id="rId1" xr:uid="{00000000-0004-0000-0900-000000000000}"/>
    <hyperlink ref="F28" r:id="rId2" xr:uid="{00000000-0004-0000-0900-000001000000}"/>
    <hyperlink ref="F12" r:id="rId3" xr:uid="{00000000-0004-0000-0900-000002000000}"/>
    <hyperlink ref="F13" r:id="rId4" xr:uid="{00000000-0004-0000-0900-000003000000}"/>
    <hyperlink ref="F15" r:id="rId5" xr:uid="{00000000-0004-0000-0900-000004000000}"/>
    <hyperlink ref="F17" r:id="rId6" xr:uid="{00000000-0004-0000-0900-000005000000}"/>
    <hyperlink ref="F18" r:id="rId7" xr:uid="{00000000-0004-0000-0900-000006000000}"/>
    <hyperlink ref="F19" r:id="rId8" xr:uid="{00000000-0004-0000-0900-000007000000}"/>
    <hyperlink ref="F30" r:id="rId9" xr:uid="{00000000-0004-0000-0900-000008000000}"/>
    <hyperlink ref="F21" r:id="rId10" xr:uid="{00000000-0004-0000-0900-000009000000}"/>
    <hyperlink ref="F35" r:id="rId11" xr:uid="{00000000-0004-0000-0900-00000A000000}"/>
    <hyperlink ref="F33" r:id="rId12" xr:uid="{00000000-0004-0000-0900-00000B000000}"/>
    <hyperlink ref="F20" r:id="rId13" xr:uid="{00000000-0004-0000-0900-00000C000000}"/>
    <hyperlink ref="F11" r:id="rId14" xr:uid="{00000000-0004-0000-0900-00000D000000}"/>
    <hyperlink ref="F31" r:id="rId15" xr:uid="{00000000-0004-0000-0900-00000E000000}"/>
    <hyperlink ref="F37" r:id="rId16" xr:uid="{00000000-0004-0000-0900-00000F000000}"/>
    <hyperlink ref="F32" r:id="rId17" xr:uid="{00000000-0004-0000-0900-000010000000}"/>
    <hyperlink ref="F29" r:id="rId18" xr:uid="{00000000-0004-0000-0900-000011000000}"/>
    <hyperlink ref="F42" r:id="rId19" xr:uid="{00000000-0004-0000-0900-000012000000}"/>
    <hyperlink ref="F43" r:id="rId20" xr:uid="{00000000-0004-0000-0900-000013000000}"/>
    <hyperlink ref="F24" r:id="rId21" xr:uid="{00000000-0004-0000-0900-000014000000}"/>
    <hyperlink ref="F27" r:id="rId22" xr:uid="{00000000-0004-0000-0900-000015000000}"/>
    <hyperlink ref="F36" r:id="rId23" xr:uid="{00000000-0004-0000-0900-000016000000}"/>
    <hyperlink ref="F10" r:id="rId24" xr:uid="{00000000-0004-0000-0900-000017000000}"/>
    <hyperlink ref="F25" r:id="rId25" xr:uid="{00000000-0004-0000-0900-000019000000}"/>
    <hyperlink ref="F14" r:id="rId26" xr:uid="{00000000-0004-0000-0900-00001B000000}"/>
    <hyperlink ref="F9" r:id="rId27" xr:uid="{00000000-0004-0000-0900-00001C000000}"/>
    <hyperlink ref="F39" r:id="rId28" xr:uid="{00000000-0004-0000-0900-00001D000000}"/>
    <hyperlink ref="F38" r:id="rId29" xr:uid="{00000000-0004-0000-0900-00001E000000}"/>
    <hyperlink ref="F41" r:id="rId30" xr:uid="{D68DC5F5-2E8B-4430-B6A3-FEB89C10A85B}"/>
  </hyperlinks>
  <pageMargins left="0.7" right="0.7" top="0.78740157499999996" bottom="0.78740157499999996" header="0.3" footer="0.3"/>
  <pageSetup paperSize="9" orientation="portrait" horizontalDpi="300" verticalDpi="300"/>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2:D33"/>
  <sheetViews>
    <sheetView zoomScaleNormal="100" zoomScalePageLayoutView="130" workbookViewId="0">
      <selection activeCell="C21" sqref="C21"/>
    </sheetView>
  </sheetViews>
  <sheetFormatPr baseColWidth="10" defaultColWidth="9" defaultRowHeight="13.2"/>
  <cols>
    <col min="1" max="2" width="3" style="16" customWidth="1"/>
    <col min="3" max="3" width="141.5" style="16" customWidth="1"/>
    <col min="4" max="4" width="3" style="16" customWidth="1"/>
    <col min="5" max="16384" width="9" style="16"/>
  </cols>
  <sheetData>
    <row r="2" spans="2:4">
      <c r="B2" s="12"/>
      <c r="C2" s="12"/>
      <c r="D2" s="12"/>
    </row>
    <row r="3" spans="2:4">
      <c r="B3" s="12"/>
      <c r="C3" s="12"/>
      <c r="D3" s="12"/>
    </row>
    <row r="4" spans="2:4">
      <c r="B4" s="12"/>
      <c r="C4" s="12"/>
      <c r="D4" s="12"/>
    </row>
    <row r="5" spans="2:4">
      <c r="B5" s="12"/>
      <c r="C5" s="12"/>
      <c r="D5" s="12"/>
    </row>
    <row r="6" spans="2:4">
      <c r="B6" s="12"/>
      <c r="C6" s="12"/>
      <c r="D6" s="12"/>
    </row>
    <row r="7" spans="2:4">
      <c r="B7" s="12"/>
      <c r="C7" s="12"/>
      <c r="D7" s="12"/>
    </row>
    <row r="8" spans="2:4" ht="15">
      <c r="B8" s="12"/>
      <c r="C8" s="26"/>
      <c r="D8" s="26"/>
    </row>
    <row r="9" spans="2:4" ht="17.399999999999999">
      <c r="B9" s="12"/>
      <c r="C9" s="29" t="s">
        <v>376</v>
      </c>
      <c r="D9" s="29"/>
    </row>
    <row r="10" spans="2:4" ht="17.399999999999999">
      <c r="B10" s="12"/>
      <c r="C10" s="29"/>
      <c r="D10" s="29"/>
    </row>
    <row r="11" spans="2:4" ht="15">
      <c r="B11" s="12"/>
      <c r="C11" s="30"/>
      <c r="D11" s="26"/>
    </row>
    <row r="12" spans="2:4">
      <c r="B12" s="12"/>
      <c r="C12" s="630" t="s">
        <v>375</v>
      </c>
      <c r="D12" s="27"/>
    </row>
    <row r="13" spans="2:4">
      <c r="B13" s="12"/>
      <c r="C13" s="630"/>
      <c r="D13" s="27"/>
    </row>
    <row r="14" spans="2:4" ht="55.2">
      <c r="B14" s="12"/>
      <c r="C14" s="631" t="s">
        <v>543</v>
      </c>
      <c r="D14" s="27"/>
    </row>
    <row r="15" spans="2:4">
      <c r="B15" s="12"/>
      <c r="C15" s="645"/>
      <c r="D15" s="27"/>
    </row>
    <row r="16" spans="2:4" ht="44.4">
      <c r="B16" s="12"/>
      <c r="C16" s="28" t="s">
        <v>634</v>
      </c>
      <c r="D16" s="27"/>
    </row>
    <row r="17" spans="2:4" ht="11.25" customHeight="1">
      <c r="B17" s="12"/>
      <c r="C17" s="644"/>
      <c r="D17" s="27"/>
    </row>
    <row r="18" spans="2:4" ht="67.5" customHeight="1">
      <c r="B18" s="12"/>
      <c r="C18" s="631" t="s">
        <v>544</v>
      </c>
      <c r="D18" s="27"/>
    </row>
    <row r="19" spans="2:4">
      <c r="B19" s="12"/>
      <c r="C19" s="631"/>
      <c r="D19" s="27"/>
    </row>
    <row r="20" spans="2:4" ht="28.8">
      <c r="B20" s="12"/>
      <c r="C20" s="631" t="s">
        <v>545</v>
      </c>
      <c r="D20" s="27"/>
    </row>
    <row r="21" spans="2:4" ht="84" customHeight="1">
      <c r="B21" s="12"/>
      <c r="C21" s="631" t="s">
        <v>637</v>
      </c>
      <c r="D21" s="28"/>
    </row>
    <row r="22" spans="2:4" ht="39.6">
      <c r="B22" s="12"/>
      <c r="C22" s="631" t="s">
        <v>377</v>
      </c>
      <c r="D22" s="28"/>
    </row>
    <row r="23" spans="2:4">
      <c r="B23" s="12"/>
      <c r="C23" s="631"/>
      <c r="D23" s="28"/>
    </row>
    <row r="24" spans="2:4">
      <c r="B24" s="12"/>
      <c r="C24" s="632" t="s">
        <v>215</v>
      </c>
      <c r="D24" s="28"/>
    </row>
    <row r="25" spans="2:4">
      <c r="B25" s="12"/>
      <c r="C25" s="632"/>
      <c r="D25" s="28"/>
    </row>
    <row r="26" spans="2:4" ht="66">
      <c r="B26" s="12"/>
      <c r="C26" s="631" t="s">
        <v>374</v>
      </c>
      <c r="D26" s="28"/>
    </row>
    <row r="27" spans="2:4">
      <c r="B27" s="12"/>
      <c r="C27" s="631"/>
      <c r="D27" s="28"/>
    </row>
    <row r="28" spans="2:4">
      <c r="B28" s="12"/>
      <c r="C28" s="632" t="s">
        <v>546</v>
      </c>
      <c r="D28" s="28"/>
    </row>
    <row r="29" spans="2:4">
      <c r="B29" s="12"/>
      <c r="C29" s="632"/>
      <c r="D29" s="28"/>
    </row>
    <row r="30" spans="2:4" ht="79.2">
      <c r="B30" s="12"/>
      <c r="C30" s="633" t="s">
        <v>638</v>
      </c>
      <c r="D30" s="28"/>
    </row>
    <row r="31" spans="2:4">
      <c r="B31" s="12"/>
      <c r="C31" s="633"/>
      <c r="D31" s="28"/>
    </row>
    <row r="32" spans="2:4">
      <c r="B32" s="12"/>
      <c r="C32" s="12"/>
      <c r="D32" s="12"/>
    </row>
    <row r="33" spans="2:4">
      <c r="B33" s="12"/>
      <c r="C33" s="12"/>
      <c r="D33" s="12"/>
    </row>
  </sheetData>
  <sheetProtection algorithmName="SHA-512" hashValue="IpPCoo+z1O9mv6mpgCJbAwY+ZPqmcBc0dmT6eB2Np2mBjEp2OYJpZh0vSYvOpkoNuC//U9x+LqsZlDp9SaphSw==" saltValue="MML7U1Kowu1k25p8f+wI7A==" spinCount="100000" sheet="1" objects="1" scenarios="1"/>
  <printOptions horizontalCentered="1"/>
  <pageMargins left="0.39370078740157483" right="0.39370078740157483" top="0.39370078740157483" bottom="0.59055118110236227" header="0.19685039370078741" footer="0.19685039370078741"/>
  <pageSetup paperSize="9" orientation="landscape" verticalDpi="601" r:id="rId1"/>
  <drawing r:id="rId2"/>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AR58"/>
  <sheetViews>
    <sheetView zoomScaleNormal="100" zoomScalePageLayoutView="130" workbookViewId="0">
      <pane xSplit="3" ySplit="7" topLeftCell="D8" activePane="bottomRight" state="frozen"/>
      <selection pane="topRight" activeCell="B1" sqref="B1"/>
      <selection pane="bottomLeft" activeCell="A4" sqref="A4"/>
      <selection pane="bottomRight" activeCell="F9" sqref="F9"/>
    </sheetView>
  </sheetViews>
  <sheetFormatPr baseColWidth="10" defaultColWidth="8.3984375" defaultRowHeight="13.2"/>
  <cols>
    <col min="1" max="1" width="3.09765625" style="16" customWidth="1"/>
    <col min="2" max="2" width="2.3984375" style="24" customWidth="1"/>
    <col min="3" max="3" width="48.59765625" style="16" customWidth="1"/>
    <col min="4" max="4" width="9.59765625" style="16" customWidth="1"/>
    <col min="5" max="5" width="8.3984375" style="16"/>
    <col min="6" max="6" width="11.09765625" style="16" customWidth="1"/>
    <col min="7" max="7" width="8.3984375" style="16"/>
    <col min="8" max="8" width="11.8984375" style="16" customWidth="1"/>
    <col min="9" max="9" width="3.296875" style="24" customWidth="1"/>
    <col min="10" max="10" width="9.5" style="24" hidden="1" customWidth="1"/>
    <col min="11" max="11" width="8.3984375" style="24"/>
    <col min="12" max="12" width="3" style="24" customWidth="1"/>
    <col min="13" max="13" width="8.3984375" style="16"/>
    <col min="14" max="15" width="11.3984375" style="16" customWidth="1"/>
    <col min="16" max="16" width="11" style="16" bestFit="1" customWidth="1"/>
    <col min="17" max="17" width="11.8984375" style="16" customWidth="1"/>
    <col min="18" max="19" width="8.3984375" style="16"/>
    <col min="20" max="20" width="3" style="16" customWidth="1"/>
    <col min="21" max="21" width="9.5" style="16" hidden="1" customWidth="1"/>
    <col min="22" max="22" width="8.3984375" style="24"/>
    <col min="23" max="23" width="3.09765625" style="24" customWidth="1"/>
    <col min="24" max="24" width="8.3984375" style="16"/>
    <col min="25" max="26" width="11.59765625" style="16" customWidth="1"/>
    <col min="27" max="27" width="11" style="16" bestFit="1" customWidth="1"/>
    <col min="28" max="28" width="11.8984375" style="16" customWidth="1"/>
    <col min="29" max="30" width="8.3984375" style="16"/>
    <col min="31" max="31" width="3.296875" style="16" customWidth="1"/>
    <col min="32" max="32" width="9.5" style="16" hidden="1" customWidth="1"/>
    <col min="33" max="33" width="8.3984375" style="24"/>
    <col min="34" max="34" width="2.59765625" style="24" customWidth="1"/>
    <col min="35" max="35" width="8.3984375" style="16"/>
    <col min="36" max="36" width="11.3984375" style="16" customWidth="1"/>
    <col min="37" max="37" width="13.09765625" style="135" customWidth="1"/>
    <col min="38" max="38" width="11" style="16" bestFit="1" customWidth="1"/>
    <col min="39" max="39" width="11.8984375" style="16" customWidth="1"/>
    <col min="40" max="41" width="8.3984375" style="16"/>
    <col min="42" max="42" width="3.796875" style="16" customWidth="1"/>
    <col min="43" max="43" width="9.5" style="16" hidden="1" customWidth="1"/>
    <col min="44" max="44" width="8.3984375" style="24"/>
    <col min="45" max="16384" width="8.3984375" style="16"/>
  </cols>
  <sheetData>
    <row r="2" spans="2:44">
      <c r="B2" s="76"/>
      <c r="C2" s="12"/>
      <c r="D2" s="12"/>
      <c r="E2" s="12"/>
      <c r="F2" s="12"/>
      <c r="G2" s="12"/>
      <c r="H2" s="12"/>
      <c r="I2" s="76"/>
      <c r="L2" s="76"/>
      <c r="M2" s="12"/>
      <c r="N2" s="12"/>
      <c r="O2" s="12"/>
      <c r="P2" s="12"/>
      <c r="Q2" s="12"/>
      <c r="R2" s="12"/>
      <c r="S2" s="12"/>
      <c r="T2" s="12"/>
      <c r="W2" s="76"/>
      <c r="X2" s="12"/>
      <c r="Y2" s="12"/>
      <c r="Z2" s="12"/>
      <c r="AA2" s="12"/>
      <c r="AB2" s="12"/>
      <c r="AC2" s="12"/>
      <c r="AD2" s="12"/>
      <c r="AE2" s="12"/>
      <c r="AH2" s="76"/>
      <c r="AI2" s="12"/>
      <c r="AJ2" s="12"/>
      <c r="AK2" s="282"/>
      <c r="AL2" s="12"/>
      <c r="AM2" s="12"/>
      <c r="AN2" s="12"/>
      <c r="AO2" s="12"/>
      <c r="AP2" s="12"/>
    </row>
    <row r="3" spans="2:44" ht="17.399999999999999" customHeight="1">
      <c r="B3" s="76"/>
      <c r="C3" s="73" t="s">
        <v>238</v>
      </c>
      <c r="D3" s="12"/>
      <c r="E3" s="652" t="s">
        <v>548</v>
      </c>
      <c r="F3" s="652"/>
      <c r="G3" s="652"/>
      <c r="H3" s="652"/>
      <c r="I3" s="76"/>
      <c r="L3" s="76"/>
      <c r="M3" s="652" t="s">
        <v>23</v>
      </c>
      <c r="N3" s="652"/>
      <c r="O3" s="652"/>
      <c r="P3" s="652"/>
      <c r="Q3" s="652"/>
      <c r="R3" s="652"/>
      <c r="S3" s="652"/>
      <c r="T3" s="639"/>
      <c r="W3" s="76"/>
      <c r="X3" s="655" t="s">
        <v>565</v>
      </c>
      <c r="Y3" s="655"/>
      <c r="Z3" s="655"/>
      <c r="AA3" s="655"/>
      <c r="AB3" s="655"/>
      <c r="AC3" s="655"/>
      <c r="AD3" s="655"/>
      <c r="AE3" s="638"/>
      <c r="AH3" s="76"/>
      <c r="AI3" s="654" t="s">
        <v>564</v>
      </c>
      <c r="AJ3" s="654"/>
      <c r="AK3" s="654"/>
      <c r="AL3" s="654"/>
      <c r="AM3" s="654"/>
      <c r="AN3" s="654"/>
      <c r="AO3" s="654"/>
      <c r="AP3" s="637"/>
    </row>
    <row r="4" spans="2:44" ht="17.850000000000001" customHeight="1">
      <c r="B4" s="76"/>
      <c r="C4" s="12"/>
      <c r="D4" s="12"/>
      <c r="E4" s="12"/>
      <c r="F4" s="12"/>
      <c r="G4" s="12"/>
      <c r="H4" s="12"/>
      <c r="I4" s="76"/>
      <c r="L4" s="76"/>
      <c r="M4" s="12"/>
      <c r="N4" s="12"/>
      <c r="O4" s="12"/>
      <c r="P4" s="12"/>
      <c r="Q4" s="12"/>
      <c r="R4" s="12"/>
      <c r="S4" s="12"/>
      <c r="T4" s="12"/>
      <c r="W4" s="76"/>
      <c r="X4" s="655"/>
      <c r="Y4" s="655"/>
      <c r="Z4" s="655"/>
      <c r="AA4" s="655"/>
      <c r="AB4" s="655"/>
      <c r="AC4" s="655"/>
      <c r="AD4" s="655"/>
      <c r="AE4" s="282"/>
      <c r="AH4" s="76"/>
      <c r="AI4" s="654"/>
      <c r="AJ4" s="654"/>
      <c r="AK4" s="654"/>
      <c r="AL4" s="654"/>
      <c r="AM4" s="654"/>
      <c r="AN4" s="654"/>
      <c r="AO4" s="654"/>
      <c r="AP4" s="637"/>
    </row>
    <row r="5" spans="2:44" ht="107.1" customHeight="1">
      <c r="B5" s="76"/>
      <c r="C5" s="282" t="s">
        <v>547</v>
      </c>
      <c r="D5" s="12"/>
      <c r="E5" s="12"/>
      <c r="F5" s="12"/>
      <c r="G5" s="12"/>
      <c r="H5" s="12"/>
      <c r="I5" s="76"/>
      <c r="L5" s="76"/>
      <c r="M5" s="12"/>
      <c r="N5" s="12"/>
      <c r="O5" s="12"/>
      <c r="P5" s="12"/>
      <c r="Q5" s="12"/>
      <c r="R5" s="12"/>
      <c r="S5" s="12"/>
      <c r="T5" s="12"/>
      <c r="W5" s="76"/>
      <c r="X5" s="12"/>
      <c r="Y5" s="12"/>
      <c r="Z5" s="12"/>
      <c r="AA5" s="12"/>
      <c r="AB5" s="12"/>
      <c r="AC5" s="12"/>
      <c r="AD5" s="12"/>
      <c r="AE5" s="12"/>
      <c r="AH5" s="76"/>
      <c r="AI5" s="12"/>
      <c r="AJ5" s="12"/>
      <c r="AK5" s="282"/>
      <c r="AL5" s="12"/>
      <c r="AM5" s="12"/>
      <c r="AN5" s="12"/>
      <c r="AO5" s="12"/>
      <c r="AP5" s="12"/>
    </row>
    <row r="6" spans="2:44" ht="14.1" customHeight="1">
      <c r="B6" s="76"/>
      <c r="C6" s="86"/>
      <c r="D6" s="653" t="s">
        <v>80</v>
      </c>
      <c r="E6" s="653"/>
      <c r="F6" s="653"/>
      <c r="G6" s="653"/>
      <c r="H6" s="653"/>
      <c r="I6" s="211"/>
      <c r="J6" s="278"/>
      <c r="K6" s="278"/>
      <c r="L6" s="211"/>
      <c r="M6" s="653" t="s">
        <v>81</v>
      </c>
      <c r="N6" s="653"/>
      <c r="O6" s="653"/>
      <c r="P6" s="653"/>
      <c r="Q6" s="211"/>
      <c r="R6" s="651" t="s">
        <v>82</v>
      </c>
      <c r="S6" s="651"/>
      <c r="T6" s="466"/>
      <c r="U6" s="278"/>
      <c r="W6" s="76"/>
      <c r="X6" s="653" t="s">
        <v>81</v>
      </c>
      <c r="Y6" s="653"/>
      <c r="Z6" s="653"/>
      <c r="AA6" s="653"/>
      <c r="AB6" s="211"/>
      <c r="AC6" s="651" t="s">
        <v>82</v>
      </c>
      <c r="AD6" s="651"/>
      <c r="AE6" s="466"/>
      <c r="AF6" s="278"/>
      <c r="AH6" s="76"/>
      <c r="AI6" s="653" t="s">
        <v>81</v>
      </c>
      <c r="AJ6" s="653"/>
      <c r="AK6" s="653"/>
      <c r="AL6" s="653"/>
      <c r="AM6" s="211"/>
      <c r="AN6" s="651" t="s">
        <v>82</v>
      </c>
      <c r="AO6" s="651"/>
      <c r="AP6" s="466"/>
      <c r="AQ6" s="278"/>
    </row>
    <row r="7" spans="2:44" s="113" customFormat="1" ht="26.4">
      <c r="B7" s="142"/>
      <c r="C7" s="192"/>
      <c r="D7" s="142" t="s">
        <v>84</v>
      </c>
      <c r="E7" s="142" t="s">
        <v>85</v>
      </c>
      <c r="F7" s="145" t="s">
        <v>86</v>
      </c>
      <c r="G7" s="142" t="s">
        <v>85</v>
      </c>
      <c r="H7" s="145" t="s">
        <v>192</v>
      </c>
      <c r="I7" s="142"/>
      <c r="J7" s="155" t="s">
        <v>87</v>
      </c>
      <c r="K7" s="155"/>
      <c r="L7" s="142"/>
      <c r="M7" s="142" t="s">
        <v>84</v>
      </c>
      <c r="N7" s="142" t="s">
        <v>85</v>
      </c>
      <c r="O7" s="145" t="s">
        <v>86</v>
      </c>
      <c r="P7" s="142" t="s">
        <v>85</v>
      </c>
      <c r="Q7" s="145" t="s">
        <v>192</v>
      </c>
      <c r="R7" s="142"/>
      <c r="S7" s="142" t="s">
        <v>85</v>
      </c>
      <c r="T7" s="114"/>
      <c r="U7" s="155" t="s">
        <v>87</v>
      </c>
      <c r="V7" s="155"/>
      <c r="W7" s="142"/>
      <c r="X7" s="142" t="s">
        <v>84</v>
      </c>
      <c r="Y7" s="142" t="s">
        <v>85</v>
      </c>
      <c r="Z7" s="145" t="s">
        <v>86</v>
      </c>
      <c r="AA7" s="142" t="s">
        <v>85</v>
      </c>
      <c r="AB7" s="145" t="s">
        <v>192</v>
      </c>
      <c r="AC7" s="142"/>
      <c r="AD7" s="142" t="s">
        <v>85</v>
      </c>
      <c r="AE7" s="114"/>
      <c r="AF7" s="155" t="s">
        <v>87</v>
      </c>
      <c r="AG7" s="155"/>
      <c r="AH7" s="142"/>
      <c r="AI7" s="142" t="s">
        <v>84</v>
      </c>
      <c r="AJ7" s="142" t="s">
        <v>85</v>
      </c>
      <c r="AK7" s="145" t="s">
        <v>86</v>
      </c>
      <c r="AL7" s="142" t="s">
        <v>85</v>
      </c>
      <c r="AM7" s="145" t="s">
        <v>192</v>
      </c>
      <c r="AN7" s="142"/>
      <c r="AO7" s="142" t="s">
        <v>85</v>
      </c>
      <c r="AP7" s="114"/>
      <c r="AQ7" s="155" t="s">
        <v>87</v>
      </c>
      <c r="AR7" s="155"/>
    </row>
    <row r="8" spans="2:44">
      <c r="B8" s="76"/>
      <c r="C8" s="271" t="s">
        <v>83</v>
      </c>
      <c r="D8" s="268"/>
      <c r="E8" s="76"/>
      <c r="F8" s="90"/>
      <c r="G8" s="76"/>
      <c r="H8" s="90"/>
      <c r="I8" s="76"/>
      <c r="J8" s="247"/>
      <c r="L8" s="76"/>
      <c r="M8" s="76"/>
      <c r="N8" s="76"/>
      <c r="O8" s="90"/>
      <c r="P8" s="76"/>
      <c r="Q8" s="90"/>
      <c r="R8" s="76"/>
      <c r="S8" s="76"/>
      <c r="T8" s="12"/>
      <c r="U8" s="24"/>
      <c r="W8" s="76"/>
      <c r="X8" s="76" t="s">
        <v>148</v>
      </c>
      <c r="Y8" s="76"/>
      <c r="Z8" s="289" t="s">
        <v>371</v>
      </c>
      <c r="AA8" s="76"/>
      <c r="AB8" s="76"/>
      <c r="AC8" s="76"/>
      <c r="AD8" s="76"/>
      <c r="AE8" s="12"/>
      <c r="AF8" s="24"/>
      <c r="AH8" s="76"/>
      <c r="AI8" s="76"/>
      <c r="AJ8" s="76"/>
      <c r="AK8" s="90"/>
      <c r="AL8" s="76"/>
      <c r="AM8" s="76"/>
      <c r="AN8" s="76"/>
      <c r="AO8" s="76"/>
      <c r="AP8" s="12"/>
      <c r="AQ8" s="24"/>
    </row>
    <row r="9" spans="2:44">
      <c r="B9" s="76"/>
      <c r="C9" s="272" t="s">
        <v>39</v>
      </c>
      <c r="D9" s="446">
        <f>Input_Preise!J24</f>
        <v>5</v>
      </c>
      <c r="E9" s="76" t="s">
        <v>12</v>
      </c>
      <c r="F9" s="283"/>
      <c r="G9" s="76" t="str">
        <f>E9</f>
        <v>€/t</v>
      </c>
      <c r="H9" s="283"/>
      <c r="I9" s="76"/>
      <c r="J9" s="493">
        <f>IF(OR(ISNA(VLOOKUP(Rechner!C9,Ergebnisse!$N$54:$R$57,5,FALSE)),ISBLANK(VLOOKUP(Rechner!C9,Ergebnisse!$N$54:$R$57,5,FALSE))),IF(NOT(ISBLANK($F9)),$F9,D9),VLOOKUP(Rechner!C9,Ergebnisse!$N$54:$R$57,5,FALSE))</f>
        <v>5</v>
      </c>
      <c r="L9" s="76"/>
      <c r="M9" s="78">
        <f>'Bilanz Referenz'!D15</f>
        <v>1.6</v>
      </c>
      <c r="N9" s="76" t="s">
        <v>93</v>
      </c>
      <c r="O9" s="287"/>
      <c r="P9" s="76" t="str">
        <f>N9</f>
        <v>t/t Klinker</v>
      </c>
      <c r="Q9" s="283"/>
      <c r="R9" s="499">
        <f t="shared" ref="R9:R19" si="0">U9*$J9</f>
        <v>8</v>
      </c>
      <c r="S9" s="270" t="s">
        <v>94</v>
      </c>
      <c r="T9" s="12"/>
      <c r="U9" s="476">
        <f t="shared" ref="U9:U19" si="1">IF(O9="",M9,O9)</f>
        <v>1.6</v>
      </c>
      <c r="W9" s="76"/>
      <c r="X9" s="78">
        <f>'Bilanz Oxyfuel'!D13</f>
        <v>1.6</v>
      </c>
      <c r="Y9" s="76" t="s">
        <v>93</v>
      </c>
      <c r="Z9" s="283"/>
      <c r="AA9" s="76" t="str">
        <f>Y9</f>
        <v>t/t Klinker</v>
      </c>
      <c r="AB9" s="15"/>
      <c r="AC9" s="499">
        <f t="shared" ref="AC9:AC20" si="2">AF9*$J9</f>
        <v>8</v>
      </c>
      <c r="AD9" s="270" t="s">
        <v>94</v>
      </c>
      <c r="AE9" s="12"/>
      <c r="AF9" s="476">
        <f>IF(Z9="",X9,Z9)</f>
        <v>1.6</v>
      </c>
      <c r="AH9" s="76"/>
      <c r="AI9" s="78">
        <f>'Bilanz E-LEILAC'!D13</f>
        <v>1.6</v>
      </c>
      <c r="AJ9" s="76" t="s">
        <v>93</v>
      </c>
      <c r="AK9" s="283"/>
      <c r="AL9" s="76" t="str">
        <f>AJ9</f>
        <v>t/t Klinker</v>
      </c>
      <c r="AM9" s="15"/>
      <c r="AN9" s="499">
        <f t="shared" ref="AN9:AN19" si="3">AQ9*$J9</f>
        <v>8</v>
      </c>
      <c r="AO9" s="270" t="s">
        <v>94</v>
      </c>
      <c r="AP9" s="12"/>
      <c r="AQ9" s="476">
        <f>IF(AK9="",AI9,AK9)</f>
        <v>1.6</v>
      </c>
    </row>
    <row r="10" spans="2:44">
      <c r="B10" s="76"/>
      <c r="C10" s="272" t="s">
        <v>50</v>
      </c>
      <c r="D10" s="446">
        <f>Input_Preise!J9</f>
        <v>2.2505389221556884</v>
      </c>
      <c r="E10" s="76" t="s">
        <v>8</v>
      </c>
      <c r="F10" s="283"/>
      <c r="G10" s="76" t="str">
        <f t="shared" ref="G10:G21" si="4">E10</f>
        <v>€/MWh</v>
      </c>
      <c r="H10" s="283"/>
      <c r="I10" s="76"/>
      <c r="J10" s="493">
        <f>IF(OR(ISNA(VLOOKUP(Rechner!C10,Ergebnisse!$N$54:$R$57,5,FALSE)),ISBLANK(VLOOKUP(Rechner!C10,Ergebnisse!$N$54:$R$57,5,FALSE))),IF(NOT(ISBLANK($F10)),$F10,D10),VLOOKUP(Rechner!C10,Ergebnisse!$N$54:$R$57,5,FALSE))</f>
        <v>2.2505389221556884</v>
      </c>
      <c r="L10" s="76"/>
      <c r="M10" s="78">
        <f>'Bilanz Referenz'!D21/3.6</f>
        <v>0.67374999999999996</v>
      </c>
      <c r="N10" s="76" t="s">
        <v>95</v>
      </c>
      <c r="O10" s="287"/>
      <c r="P10" s="76" t="str">
        <f t="shared" ref="P10:P24" si="5">N10</f>
        <v>MWh/t Klinker</v>
      </c>
      <c r="Q10" s="283"/>
      <c r="R10" s="499">
        <f t="shared" si="0"/>
        <v>1.516300598802395</v>
      </c>
      <c r="S10" s="270" t="s">
        <v>94</v>
      </c>
      <c r="T10" s="12"/>
      <c r="U10" s="476">
        <f t="shared" si="1"/>
        <v>0.67374999999999996</v>
      </c>
      <c r="W10" s="76"/>
      <c r="X10" s="78">
        <f>'Bilanz Oxyfuel'!D17/3.6</f>
        <v>0.67374999999999996</v>
      </c>
      <c r="Y10" s="76" t="s">
        <v>95</v>
      </c>
      <c r="Z10" s="283"/>
      <c r="AA10" s="76" t="str">
        <f t="shared" ref="AA10:AA20" si="6">Y10</f>
        <v>MWh/t Klinker</v>
      </c>
      <c r="AB10" s="15"/>
      <c r="AC10" s="499">
        <f t="shared" si="2"/>
        <v>1.516300598802395</v>
      </c>
      <c r="AD10" s="270" t="s">
        <v>94</v>
      </c>
      <c r="AE10" s="12"/>
      <c r="AF10" s="486">
        <f>IF(Z10="",IF(Ergebnisse!$U$63=1,Ergebnisse!$U54*'Bilanz Oxyfuel'!$D$27/3.6,X10),Z10)</f>
        <v>0.67374999999999996</v>
      </c>
      <c r="AH10" s="76"/>
      <c r="AI10" s="78">
        <f>'Bilanz E-LEILAC'!D17/3.6</f>
        <v>0.14810185185185187</v>
      </c>
      <c r="AJ10" s="76" t="s">
        <v>95</v>
      </c>
      <c r="AK10" s="283"/>
      <c r="AL10" s="76" t="str">
        <f t="shared" ref="AL10:AL22" si="7">AJ10</f>
        <v>MWh/t Klinker</v>
      </c>
      <c r="AM10" s="15"/>
      <c r="AN10" s="499">
        <f t="shared" si="3"/>
        <v>0.33330898203592818</v>
      </c>
      <c r="AO10" s="270" t="s">
        <v>94</v>
      </c>
      <c r="AP10" s="12"/>
      <c r="AQ10" s="486">
        <f>IF(AK10="",IF(Ergebnisse!$U$63=1,Ergebnisse!$U54*'Bilanz E-LEILAC'!$D$27/3.6,AI10),AK10)</f>
        <v>0.14810185185185187</v>
      </c>
    </row>
    <row r="11" spans="2:44">
      <c r="B11" s="76"/>
      <c r="C11" s="272" t="s">
        <v>25</v>
      </c>
      <c r="D11" s="446">
        <f>Input_Preise!J10</f>
        <v>9.6480000000000015</v>
      </c>
      <c r="E11" s="76" t="s">
        <v>8</v>
      </c>
      <c r="F11" s="283"/>
      <c r="G11" s="76" t="str">
        <f t="shared" si="4"/>
        <v>€/MWh</v>
      </c>
      <c r="H11" s="283"/>
      <c r="I11" s="76"/>
      <c r="J11" s="493">
        <f>IF(OR(ISNA(VLOOKUP(Rechner!C11,Ergebnisse!$N$54:$R$57,5,FALSE)),ISBLANK(VLOOKUP(Rechner!C11,Ergebnisse!$N$54:$R$57,5,FALSE))),IF(NOT(ISBLANK($F11)),$F11,D11),VLOOKUP(Rechner!C11,Ergebnisse!$N$54:$R$57,5,FALSE))</f>
        <v>9.6480000000000015</v>
      </c>
      <c r="L11" s="76"/>
      <c r="M11" s="78">
        <f>'Bilanz Referenz'!D25/3.6</f>
        <v>7.3888888888888893E-2</v>
      </c>
      <c r="N11" s="76" t="s">
        <v>95</v>
      </c>
      <c r="O11" s="287"/>
      <c r="P11" s="76" t="str">
        <f t="shared" si="5"/>
        <v>MWh/t Klinker</v>
      </c>
      <c r="Q11" s="283"/>
      <c r="R11" s="499">
        <f t="shared" si="0"/>
        <v>0.71288000000000018</v>
      </c>
      <c r="S11" s="270" t="s">
        <v>94</v>
      </c>
      <c r="T11" s="12"/>
      <c r="U11" s="476">
        <f t="shared" si="1"/>
        <v>7.3888888888888893E-2</v>
      </c>
      <c r="W11" s="76"/>
      <c r="X11" s="78">
        <f>'Bilanz Oxyfuel'!D18/3.6</f>
        <v>7.3888888888888893E-2</v>
      </c>
      <c r="Y11" s="76" t="s">
        <v>95</v>
      </c>
      <c r="Z11" s="283"/>
      <c r="AA11" s="76" t="str">
        <f t="shared" si="6"/>
        <v>MWh/t Klinker</v>
      </c>
      <c r="AB11" s="15"/>
      <c r="AC11" s="499">
        <f t="shared" si="2"/>
        <v>0.71288000000000018</v>
      </c>
      <c r="AD11" s="270" t="s">
        <v>94</v>
      </c>
      <c r="AE11" s="12"/>
      <c r="AF11" s="486">
        <f>IF(Z11="",IF(Ergebnisse!$U$63=1,Ergebnisse!U55*'Bilanz Oxyfuel'!$D$27/3.6,X11),Z11)</f>
        <v>7.3888888888888893E-2</v>
      </c>
      <c r="AH11" s="76"/>
      <c r="AI11" s="78">
        <f>'Bilanz E-LEILAC'!D18/3.6</f>
        <v>3.888888888888889E-2</v>
      </c>
      <c r="AJ11" s="76" t="s">
        <v>95</v>
      </c>
      <c r="AK11" s="283"/>
      <c r="AL11" s="76" t="str">
        <f t="shared" si="7"/>
        <v>MWh/t Klinker</v>
      </c>
      <c r="AM11" s="15"/>
      <c r="AN11" s="499">
        <f t="shared" si="3"/>
        <v>0.37520000000000009</v>
      </c>
      <c r="AO11" s="270" t="s">
        <v>94</v>
      </c>
      <c r="AP11" s="12"/>
      <c r="AQ11" s="486">
        <f>IF(AK11="",IF(Ergebnisse!$U$63=1,Ergebnisse!$U55*'Bilanz E-LEILAC'!$D$27/3.6,AI11),AK11)</f>
        <v>3.888888888888889E-2</v>
      </c>
    </row>
    <row r="12" spans="2:44">
      <c r="B12" s="76"/>
      <c r="C12" s="272" t="s">
        <v>26</v>
      </c>
      <c r="D12" s="446">
        <f>Input_Preise!J11</f>
        <v>6.2</v>
      </c>
      <c r="E12" s="76" t="s">
        <v>8</v>
      </c>
      <c r="F12" s="283"/>
      <c r="G12" s="76" t="str">
        <f t="shared" si="4"/>
        <v>€/MWh</v>
      </c>
      <c r="H12" s="283"/>
      <c r="I12" s="76"/>
      <c r="J12" s="493">
        <f>IF(OR(ISNA(VLOOKUP(Rechner!C12,Ergebnisse!$N$54:$R$57,5,FALSE)),ISBLANK(VLOOKUP(Rechner!C12,Ergebnisse!$N$54:$R$57,5,FALSE))),IF(NOT(ISBLANK($F12)),$F12,D12),VLOOKUP(Rechner!C12,Ergebnisse!$N$54:$R$57,5,FALSE))</f>
        <v>6.2</v>
      </c>
      <c r="L12" s="76"/>
      <c r="M12" s="78">
        <f>'Bilanz Referenz'!D29/3.6</f>
        <v>0.18375</v>
      </c>
      <c r="N12" s="76" t="s">
        <v>95</v>
      </c>
      <c r="O12" s="287"/>
      <c r="P12" s="76" t="str">
        <f t="shared" si="5"/>
        <v>MWh/t Klinker</v>
      </c>
      <c r="Q12" s="283"/>
      <c r="R12" s="499">
        <f t="shared" si="0"/>
        <v>1.1392500000000001</v>
      </c>
      <c r="S12" s="270" t="s">
        <v>94</v>
      </c>
      <c r="T12" s="12"/>
      <c r="U12" s="476">
        <f t="shared" si="1"/>
        <v>0.18375</v>
      </c>
      <c r="W12" s="76"/>
      <c r="X12" s="78">
        <f>'Bilanz Oxyfuel'!D19/3.6</f>
        <v>0.18375</v>
      </c>
      <c r="Y12" s="76" t="s">
        <v>95</v>
      </c>
      <c r="Z12" s="283"/>
      <c r="AA12" s="76" t="str">
        <f t="shared" si="6"/>
        <v>MWh/t Klinker</v>
      </c>
      <c r="AB12" s="15"/>
      <c r="AC12" s="499">
        <f t="shared" si="2"/>
        <v>1.1392500000000001</v>
      </c>
      <c r="AD12" s="270" t="s">
        <v>94</v>
      </c>
      <c r="AE12" s="12"/>
      <c r="AF12" s="486">
        <f>IF(Z12="",IF(Ergebnisse!$U$63=1,Ergebnisse!U56*'Bilanz Oxyfuel'!$D$27/3.6,X12),Z12)</f>
        <v>0.18375</v>
      </c>
      <c r="AH12" s="76"/>
      <c r="AI12" s="78">
        <f>'Bilanz E-LEILAC'!D19/3.6</f>
        <v>9.7222222222222224E-2</v>
      </c>
      <c r="AJ12" s="76" t="s">
        <v>95</v>
      </c>
      <c r="AK12" s="283"/>
      <c r="AL12" s="76" t="str">
        <f t="shared" si="7"/>
        <v>MWh/t Klinker</v>
      </c>
      <c r="AM12" s="15"/>
      <c r="AN12" s="499">
        <f t="shared" si="3"/>
        <v>0.60277777777777786</v>
      </c>
      <c r="AO12" s="270" t="s">
        <v>94</v>
      </c>
      <c r="AP12" s="12"/>
      <c r="AQ12" s="486">
        <f>IF(AK12="",IF(Ergebnisse!$U$63=1,Ergebnisse!$U56*'Bilanz E-LEILAC'!$D$27/3.6,AI12),AK12)</f>
        <v>9.7222222222222224E-2</v>
      </c>
    </row>
    <row r="13" spans="2:44">
      <c r="B13" s="76"/>
      <c r="C13" s="272" t="s">
        <v>27</v>
      </c>
      <c r="D13" s="446">
        <f>Input_Preise!J12</f>
        <v>3.6759973213431549</v>
      </c>
      <c r="E13" s="76" t="s">
        <v>8</v>
      </c>
      <c r="F13" s="283"/>
      <c r="G13" s="76" t="str">
        <f t="shared" si="4"/>
        <v>€/MWh</v>
      </c>
      <c r="H13" s="283"/>
      <c r="I13" s="76"/>
      <c r="J13" s="493">
        <f>IF(OR(ISNA(VLOOKUP(Rechner!C13,Ergebnisse!$N$54:$R$57,5,FALSE)),ISBLANK(VLOOKUP(Rechner!C13,Ergebnisse!$N$54:$R$57,5,FALSE))),IF(NOT(ISBLANK($F13)),$F13,D13),VLOOKUP(Rechner!C13,Ergebnisse!$N$54:$R$57,5,FALSE))</f>
        <v>3.6759973213431549</v>
      </c>
      <c r="L13" s="76"/>
      <c r="M13" s="78">
        <f>'Bilanz Referenz'!D32/3.6</f>
        <v>2.4305555555555556E-2</v>
      </c>
      <c r="N13" s="76" t="s">
        <v>95</v>
      </c>
      <c r="O13" s="287"/>
      <c r="P13" s="76" t="str">
        <f t="shared" si="5"/>
        <v>MWh/t Klinker</v>
      </c>
      <c r="Q13" s="283"/>
      <c r="R13" s="499">
        <f t="shared" si="0"/>
        <v>8.9347157115979459E-2</v>
      </c>
      <c r="S13" s="270" t="s">
        <v>94</v>
      </c>
      <c r="T13" s="12"/>
      <c r="U13" s="476">
        <f t="shared" si="1"/>
        <v>2.4305555555555556E-2</v>
      </c>
      <c r="W13" s="76"/>
      <c r="X13" s="78">
        <f>'Bilanz Oxyfuel'!D20/3.6</f>
        <v>2.4305555555555556E-2</v>
      </c>
      <c r="Y13" s="76" t="s">
        <v>95</v>
      </c>
      <c r="Z13" s="283"/>
      <c r="AA13" s="76" t="str">
        <f t="shared" si="6"/>
        <v>MWh/t Klinker</v>
      </c>
      <c r="AB13" s="15"/>
      <c r="AC13" s="499">
        <f t="shared" si="2"/>
        <v>8.9347157115979459E-2</v>
      </c>
      <c r="AD13" s="270" t="s">
        <v>94</v>
      </c>
      <c r="AE13" s="12"/>
      <c r="AF13" s="486">
        <f>IF(Z13="",IF(Ergebnisse!$U$63=1,Ergebnisse!U57*'Bilanz Oxyfuel'!$D$27/3.6,X13),Z13)</f>
        <v>2.4305555555555556E-2</v>
      </c>
      <c r="AH13" s="76"/>
      <c r="AI13" s="78">
        <f>'Bilanz E-LEILAC'!D20/3.6</f>
        <v>2.4305555555555556E-2</v>
      </c>
      <c r="AJ13" s="76" t="s">
        <v>95</v>
      </c>
      <c r="AK13" s="283"/>
      <c r="AL13" s="76" t="str">
        <f t="shared" si="7"/>
        <v>MWh/t Klinker</v>
      </c>
      <c r="AM13" s="15"/>
      <c r="AN13" s="499">
        <f t="shared" si="3"/>
        <v>8.9347157115979459E-2</v>
      </c>
      <c r="AO13" s="270" t="s">
        <v>94</v>
      </c>
      <c r="AP13" s="12"/>
      <c r="AQ13" s="486">
        <f>IF(AK13="",IF(Ergebnisse!$U$63=1,Ergebnisse!$U57*'Bilanz E-LEILAC'!$D$27/3.6,AI13),AK13)</f>
        <v>2.4305555555555556E-2</v>
      </c>
    </row>
    <row r="14" spans="2:44">
      <c r="B14" s="76"/>
      <c r="C14" s="456" t="s">
        <v>0</v>
      </c>
      <c r="D14" s="446">
        <f>Input_Preise!J13</f>
        <v>21.6</v>
      </c>
      <c r="E14" s="76" t="s">
        <v>8</v>
      </c>
      <c r="F14" s="283"/>
      <c r="G14" s="76" t="str">
        <f t="shared" si="4"/>
        <v>€/MWh</v>
      </c>
      <c r="H14" s="283"/>
      <c r="I14" s="76"/>
      <c r="J14" s="493">
        <f>IF(OR(ISNA(VLOOKUP(Rechner!C14,Ergebnisse!$N$54:$R$57,5,FALSE)),ISBLANK(VLOOKUP(Rechner!C14,Ergebnisse!$N$54:$R$57,5,FALSE))),IF(NOT(ISBLANK($F14)),$F14,D14),VLOOKUP(Rechner!C14,Ergebnisse!$N$54:$R$57,5,FALSE))</f>
        <v>21.6</v>
      </c>
      <c r="L14" s="76"/>
      <c r="M14" s="78">
        <f>'Bilanz Referenz'!D36/3.6</f>
        <v>6.805555555555556E-3</v>
      </c>
      <c r="N14" s="76" t="s">
        <v>95</v>
      </c>
      <c r="O14" s="287"/>
      <c r="P14" s="76" t="str">
        <f t="shared" si="5"/>
        <v>MWh/t Klinker</v>
      </c>
      <c r="Q14" s="283"/>
      <c r="R14" s="499">
        <f t="shared" si="0"/>
        <v>0.14700000000000002</v>
      </c>
      <c r="S14" s="270" t="s">
        <v>94</v>
      </c>
      <c r="T14" s="12"/>
      <c r="U14" s="476">
        <f t="shared" si="1"/>
        <v>6.805555555555556E-3</v>
      </c>
      <c r="W14" s="76"/>
      <c r="X14" s="78">
        <f>'Bilanz Oxyfuel'!D21/3.6</f>
        <v>6.805555555555556E-3</v>
      </c>
      <c r="Y14" s="76" t="s">
        <v>95</v>
      </c>
      <c r="Z14" s="283"/>
      <c r="AA14" s="76" t="str">
        <f t="shared" si="6"/>
        <v>MWh/t Klinker</v>
      </c>
      <c r="AB14" s="15"/>
      <c r="AC14" s="499">
        <f t="shared" si="2"/>
        <v>0.14700000000000002</v>
      </c>
      <c r="AD14" s="270" t="s">
        <v>94</v>
      </c>
      <c r="AE14" s="12"/>
      <c r="AF14" s="486">
        <f>IF(Z14="",IF(Ergebnisse!$U$63=1,Ergebnisse!U58*'Bilanz Oxyfuel'!$D$27/3.6,X14),Z14)</f>
        <v>6.805555555555556E-3</v>
      </c>
      <c r="AH14" s="76"/>
      <c r="AI14" s="78">
        <f>'Bilanz E-LEILAC'!D21/3.6</f>
        <v>6.805555555555556E-3</v>
      </c>
      <c r="AJ14" s="76" t="s">
        <v>95</v>
      </c>
      <c r="AK14" s="283"/>
      <c r="AL14" s="76" t="str">
        <f t="shared" si="7"/>
        <v>MWh/t Klinker</v>
      </c>
      <c r="AM14" s="15"/>
      <c r="AN14" s="499">
        <f t="shared" si="3"/>
        <v>0.14700000000000002</v>
      </c>
      <c r="AO14" s="270" t="s">
        <v>94</v>
      </c>
      <c r="AP14" s="12"/>
      <c r="AQ14" s="486">
        <f>IF(AK14="",IF(Ergebnisse!$U$63=1,Ergebnisse!$U58*'Bilanz E-LEILAC'!$D$27/3.6,AI14),AK14)</f>
        <v>6.805555555555556E-3</v>
      </c>
    </row>
    <row r="15" spans="2:44">
      <c r="B15" s="76"/>
      <c r="C15" s="272" t="s">
        <v>33</v>
      </c>
      <c r="D15" s="446">
        <f>Input_Preise!J14</f>
        <v>24.390243902439025</v>
      </c>
      <c r="E15" s="76" t="s">
        <v>8</v>
      </c>
      <c r="F15" s="283"/>
      <c r="G15" s="76" t="str">
        <f t="shared" si="4"/>
        <v>€/MWh</v>
      </c>
      <c r="H15" s="283"/>
      <c r="I15" s="76"/>
      <c r="J15" s="493">
        <f>IF(OR(ISNA(VLOOKUP(Rechner!C15,Ergebnisse!$N$54:$R$57,5,FALSE)),ISBLANK(VLOOKUP(Rechner!C15,Ergebnisse!$N$54:$R$57,5,FALSE))),IF(NOT(ISBLANK($F15)),$F15,D15),VLOOKUP(Rechner!C15,Ergebnisse!$N$54:$R$57,5,FALSE))</f>
        <v>24.390243902439025</v>
      </c>
      <c r="L15" s="76"/>
      <c r="M15" s="78">
        <f>'Bilanz Referenz'!D39/3.6</f>
        <v>0</v>
      </c>
      <c r="N15" s="76" t="s">
        <v>95</v>
      </c>
      <c r="O15" s="287"/>
      <c r="P15" s="76" t="str">
        <f t="shared" si="5"/>
        <v>MWh/t Klinker</v>
      </c>
      <c r="Q15" s="283"/>
      <c r="R15" s="499">
        <f t="shared" si="0"/>
        <v>0</v>
      </c>
      <c r="S15" s="270" t="s">
        <v>94</v>
      </c>
      <c r="T15" s="12"/>
      <c r="U15" s="477">
        <f t="shared" si="1"/>
        <v>0</v>
      </c>
      <c r="W15" s="76"/>
      <c r="X15" s="78">
        <f>'Bilanz Oxyfuel'!D22/3.6</f>
        <v>0</v>
      </c>
      <c r="Y15" s="76" t="s">
        <v>95</v>
      </c>
      <c r="Z15" s="283"/>
      <c r="AA15" s="76" t="str">
        <f t="shared" si="6"/>
        <v>MWh/t Klinker</v>
      </c>
      <c r="AB15" s="15"/>
      <c r="AC15" s="499">
        <f t="shared" si="2"/>
        <v>0</v>
      </c>
      <c r="AD15" s="270" t="s">
        <v>94</v>
      </c>
      <c r="AE15" s="12"/>
      <c r="AF15" s="487">
        <f>IF(Z15="",IF(Ergebnisse!$U$63=1,Ergebnisse!U59*'Bilanz Oxyfuel'!$D$27/3.6,X15),Z15)</f>
        <v>0</v>
      </c>
      <c r="AH15" s="76"/>
      <c r="AI15" s="78">
        <f>'Bilanz E-LEILAC'!D22/3.6</f>
        <v>0</v>
      </c>
      <c r="AJ15" s="76" t="s">
        <v>95</v>
      </c>
      <c r="AK15" s="283"/>
      <c r="AL15" s="76" t="str">
        <f t="shared" si="7"/>
        <v>MWh/t Klinker</v>
      </c>
      <c r="AM15" s="15"/>
      <c r="AN15" s="499">
        <f t="shared" si="3"/>
        <v>0</v>
      </c>
      <c r="AO15" s="270" t="s">
        <v>94</v>
      </c>
      <c r="AP15" s="12"/>
      <c r="AQ15" s="487">
        <f>IF(AK15="",IF(Ergebnisse!$U$63=1,Ergebnisse!$U59*'Bilanz E-LEILAC'!$D$27/3.6,AI15),AK15)</f>
        <v>0</v>
      </c>
    </row>
    <row r="16" spans="2:44">
      <c r="B16" s="76"/>
      <c r="C16" s="272" t="s">
        <v>36</v>
      </c>
      <c r="D16" s="491">
        <f>Input_Preise!J15</f>
        <v>57</v>
      </c>
      <c r="E16" s="76" t="s">
        <v>8</v>
      </c>
      <c r="F16" s="492"/>
      <c r="G16" s="76" t="str">
        <f t="shared" ref="G16" si="8">E16</f>
        <v>€/MWh</v>
      </c>
      <c r="H16" s="283"/>
      <c r="I16" s="76"/>
      <c r="J16" s="493">
        <f>IF(OR(ISNA(VLOOKUP(Rechner!C16,Ergebnisse!$N$54:$R$57,5,FALSE)),ISBLANK(VLOOKUP(Rechner!C16,Ergebnisse!$N$54:$R$57,5,FALSE))),IF(NOT(ISBLANK($F16)),$F16,D16),VLOOKUP(Rechner!C16,Ergebnisse!$N$54:$R$57,5,FALSE))</f>
        <v>57</v>
      </c>
      <c r="L16" s="76"/>
      <c r="M16" s="78">
        <f>'Bilanz Referenz'!D42/3.6</f>
        <v>0</v>
      </c>
      <c r="N16" s="76" t="s">
        <v>95</v>
      </c>
      <c r="O16" s="287"/>
      <c r="P16" s="76" t="str">
        <f t="shared" ref="P16" si="9">N16</f>
        <v>MWh/t Klinker</v>
      </c>
      <c r="Q16" s="283"/>
      <c r="R16" s="499">
        <f t="shared" si="0"/>
        <v>0</v>
      </c>
      <c r="S16" s="270" t="s">
        <v>94</v>
      </c>
      <c r="T16" s="12"/>
      <c r="U16" s="477">
        <f t="shared" si="1"/>
        <v>0</v>
      </c>
      <c r="W16" s="76"/>
      <c r="X16" s="78">
        <f>'Bilanz Oxyfuel'!D23/3.6</f>
        <v>0</v>
      </c>
      <c r="Y16" s="76" t="s">
        <v>95</v>
      </c>
      <c r="Z16" s="283"/>
      <c r="AA16" s="76" t="str">
        <f t="shared" ref="AA16" si="10">Y16</f>
        <v>MWh/t Klinker</v>
      </c>
      <c r="AB16" s="15"/>
      <c r="AC16" s="499">
        <f t="shared" si="2"/>
        <v>0</v>
      </c>
      <c r="AD16" s="270" t="s">
        <v>94</v>
      </c>
      <c r="AE16" s="12"/>
      <c r="AF16" s="487">
        <f>IF(Z16="",IF(Ergebnisse!$U$63=1,Ergebnisse!U60*'Bilanz Oxyfuel'!$D$27/3.6,X16),Z16)</f>
        <v>0</v>
      </c>
      <c r="AH16" s="76"/>
      <c r="AI16" s="78">
        <f>'Bilanz E-LEILAC'!D23/3.6</f>
        <v>0</v>
      </c>
      <c r="AJ16" s="76" t="s">
        <v>95</v>
      </c>
      <c r="AK16" s="283"/>
      <c r="AL16" s="76" t="str">
        <f t="shared" ref="AL16" si="11">AJ16</f>
        <v>MWh/t Klinker</v>
      </c>
      <c r="AM16" s="15"/>
      <c r="AN16" s="499">
        <f t="shared" si="3"/>
        <v>0</v>
      </c>
      <c r="AO16" s="270" t="s">
        <v>94</v>
      </c>
      <c r="AP16" s="12"/>
      <c r="AQ16" s="487">
        <f>IF(AK16="",IF(Ergebnisse!$U$63=1,Ergebnisse!$U60*'Bilanz E-LEILAC'!$D$27/3.6,AI16),AK16)</f>
        <v>0</v>
      </c>
    </row>
    <row r="17" spans="2:44">
      <c r="B17" s="76"/>
      <c r="C17" s="272" t="s">
        <v>28</v>
      </c>
      <c r="D17" s="491">
        <f>Input_Preise!J17</f>
        <v>30.612244897959183</v>
      </c>
      <c r="E17" s="76" t="s">
        <v>8</v>
      </c>
      <c r="F17" s="492"/>
      <c r="G17" s="76" t="str">
        <f t="shared" si="4"/>
        <v>€/MWh</v>
      </c>
      <c r="H17" s="283"/>
      <c r="I17" s="76"/>
      <c r="J17" s="493">
        <f>IF(OR(ISNA(VLOOKUP(Rechner!C17,Ergebnisse!$N$54:$R$57,5,FALSE)),ISBLANK(VLOOKUP(Rechner!C17,Ergebnisse!$N$54:$R$57,5,FALSE))),IF(NOT(ISBLANK($F17)),$F17,D17),VLOOKUP(Rechner!C17,Ergebnisse!$N$54:$R$57,5,FALSE))</f>
        <v>30.612244897959183</v>
      </c>
      <c r="L17" s="76"/>
      <c r="M17" s="78">
        <f>'Bilanz Referenz'!D49/3.6</f>
        <v>8.7499999999999991E-3</v>
      </c>
      <c r="N17" s="76" t="s">
        <v>95</v>
      </c>
      <c r="O17" s="287"/>
      <c r="P17" s="76" t="str">
        <f t="shared" si="5"/>
        <v>MWh/t Klinker</v>
      </c>
      <c r="Q17" s="283"/>
      <c r="R17" s="499">
        <f t="shared" si="0"/>
        <v>0.26785714285714285</v>
      </c>
      <c r="S17" s="270" t="s">
        <v>94</v>
      </c>
      <c r="T17" s="12"/>
      <c r="U17" s="476">
        <f t="shared" si="1"/>
        <v>8.7499999999999991E-3</v>
      </c>
      <c r="W17" s="76"/>
      <c r="X17" s="78">
        <f>'Bilanz Oxyfuel'!D25/3.6</f>
        <v>8.7499999999999991E-3</v>
      </c>
      <c r="Y17" s="76" t="s">
        <v>95</v>
      </c>
      <c r="Z17" s="283"/>
      <c r="AA17" s="76" t="str">
        <f t="shared" si="6"/>
        <v>MWh/t Klinker</v>
      </c>
      <c r="AB17" s="15"/>
      <c r="AC17" s="499">
        <f t="shared" si="2"/>
        <v>0.26785714285714285</v>
      </c>
      <c r="AD17" s="270" t="s">
        <v>94</v>
      </c>
      <c r="AE17" s="12"/>
      <c r="AF17" s="486">
        <f>IF(Z17="",IF(Ergebnisse!$U$63=1,Ergebnisse!U61*'Bilanz Oxyfuel'!$D$27/3.6,X17),Z17)</f>
        <v>8.7499999999999991E-3</v>
      </c>
      <c r="AH17" s="76"/>
      <c r="AI17" s="78">
        <f>'Bilanz E-LEILAC'!D25/3.6</f>
        <v>8.7499999999999991E-3</v>
      </c>
      <c r="AJ17" s="76" t="s">
        <v>95</v>
      </c>
      <c r="AK17" s="283"/>
      <c r="AL17" s="76" t="str">
        <f t="shared" si="7"/>
        <v>MWh/t Klinker</v>
      </c>
      <c r="AM17" s="15"/>
      <c r="AN17" s="499">
        <f t="shared" si="3"/>
        <v>0.26785714285714285</v>
      </c>
      <c r="AO17" s="270" t="s">
        <v>94</v>
      </c>
      <c r="AP17" s="12"/>
      <c r="AQ17" s="486">
        <f>IF(AK17="",IF(Ergebnisse!$U$63=1,Ergebnisse!$U61*'Bilanz E-LEILAC'!$D$27/3.6,AI17),AK17)</f>
        <v>8.7499999999999991E-3</v>
      </c>
    </row>
    <row r="18" spans="2:44">
      <c r="B18" s="76"/>
      <c r="C18" s="272" t="s">
        <v>1</v>
      </c>
      <c r="D18" s="491">
        <f>Input_Preise!J18</f>
        <v>165.28925619834715</v>
      </c>
      <c r="E18" s="76" t="s">
        <v>8</v>
      </c>
      <c r="F18" s="492"/>
      <c r="G18" s="76" t="str">
        <f t="shared" si="4"/>
        <v>€/MWh</v>
      </c>
      <c r="H18" s="283"/>
      <c r="I18" s="76"/>
      <c r="J18" s="493">
        <f>IF(OR(ISNA(VLOOKUP(Rechner!C18,Ergebnisse!$N$54:$R$57,5,FALSE)),ISBLANK(VLOOKUP(Rechner!C18,Ergebnisse!$N$54:$R$57,5,FALSE))),IF(NOT(ISBLANK($F18)),$F18,D18),VLOOKUP(Rechner!C18,Ergebnisse!$N$54:$R$57,5,FALSE))</f>
        <v>165.28925619834715</v>
      </c>
      <c r="L18" s="76"/>
      <c r="M18" s="78">
        <f>'Bilanz Referenz'!D52/3.6</f>
        <v>0</v>
      </c>
      <c r="N18" s="76" t="s">
        <v>95</v>
      </c>
      <c r="O18" s="287"/>
      <c r="P18" s="76" t="str">
        <f t="shared" si="5"/>
        <v>MWh/t Klinker</v>
      </c>
      <c r="Q18" s="283"/>
      <c r="R18" s="499">
        <f t="shared" si="0"/>
        <v>0</v>
      </c>
      <c r="S18" s="270" t="s">
        <v>94</v>
      </c>
      <c r="T18" s="12"/>
      <c r="U18" s="477">
        <f t="shared" si="1"/>
        <v>0</v>
      </c>
      <c r="W18" s="76"/>
      <c r="X18" s="78">
        <f>'Bilanz Oxyfuel'!D26/3.6</f>
        <v>0</v>
      </c>
      <c r="Y18" s="76" t="s">
        <v>95</v>
      </c>
      <c r="Z18" s="283"/>
      <c r="AA18" s="76" t="str">
        <f t="shared" si="6"/>
        <v>MWh/t Klinker</v>
      </c>
      <c r="AB18" s="15"/>
      <c r="AC18" s="499">
        <f t="shared" si="2"/>
        <v>0</v>
      </c>
      <c r="AD18" s="270" t="s">
        <v>94</v>
      </c>
      <c r="AE18" s="12"/>
      <c r="AF18" s="487">
        <f>IF(Z18="",IF(Ergebnisse!$U$63=1,Ergebnisse!U62*'Bilanz Oxyfuel'!$D$27/3.6,X18),Z18)</f>
        <v>0</v>
      </c>
      <c r="AH18" s="76"/>
      <c r="AI18" s="76">
        <f>'Bilanz E-LEILAC'!D26/3.6</f>
        <v>0</v>
      </c>
      <c r="AJ18" s="76" t="s">
        <v>95</v>
      </c>
      <c r="AK18" s="283"/>
      <c r="AL18" s="76" t="str">
        <f t="shared" si="7"/>
        <v>MWh/t Klinker</v>
      </c>
      <c r="AM18" s="15"/>
      <c r="AN18" s="499">
        <f t="shared" si="3"/>
        <v>0</v>
      </c>
      <c r="AO18" s="270" t="s">
        <v>94</v>
      </c>
      <c r="AP18" s="12"/>
      <c r="AQ18" s="487">
        <f>IF(AK18="",IF(Ergebnisse!$U$63=1,Ergebnisse!$U62*'Bilanz E-LEILAC'!$D$27/3.6,AI18),AK18)</f>
        <v>0</v>
      </c>
    </row>
    <row r="19" spans="2:44">
      <c r="B19" s="76"/>
      <c r="C19" s="272" t="s">
        <v>2</v>
      </c>
      <c r="D19" s="491">
        <f>Input_Preise!J19</f>
        <v>50</v>
      </c>
      <c r="E19" s="76" t="s">
        <v>8</v>
      </c>
      <c r="F19" s="492"/>
      <c r="G19" s="76" t="str">
        <f t="shared" si="4"/>
        <v>€/MWh</v>
      </c>
      <c r="H19" s="283"/>
      <c r="I19" s="76"/>
      <c r="J19" s="493">
        <f>IF(OR(ISNA(VLOOKUP(Rechner!C19,Ergebnisse!$N$54:$R$57,5,FALSE)),ISBLANK(VLOOKUP(Rechner!C19,Ergebnisse!$N$54:$R$57,5,FALSE))),IF(NOT(ISBLANK($F19)),$F19,D19),VLOOKUP(Rechner!C19,Ergebnisse!$N$54:$R$57,5,FALSE))</f>
        <v>50</v>
      </c>
      <c r="L19" s="76"/>
      <c r="M19" s="78">
        <f>'Bilanz Referenz'!D67/1000</f>
        <v>8.7500000000000008E-2</v>
      </c>
      <c r="N19" s="76" t="s">
        <v>95</v>
      </c>
      <c r="O19" s="554"/>
      <c r="P19" s="76" t="str">
        <f t="shared" si="5"/>
        <v>MWh/t Klinker</v>
      </c>
      <c r="Q19" s="473"/>
      <c r="R19" s="499">
        <f t="shared" si="0"/>
        <v>4.375</v>
      </c>
      <c r="S19" s="270" t="s">
        <v>94</v>
      </c>
      <c r="T19" s="12"/>
      <c r="U19" s="476">
        <f t="shared" si="1"/>
        <v>8.7500000000000008E-2</v>
      </c>
      <c r="W19" s="76"/>
      <c r="X19" s="451">
        <f>IF(Z8="ja",('Bilanz Oxyfuel'!D55+'Bilanz Oxyfuel'!D40*AF20+'Bilanz Oxyfuel'!D49*(Rechner!AF44+Rechner!AF45))/1000,('Bilanz Oxyfuel'!D55+'Bilanz Oxyfuel'!D49*(Rechner!AF44+Rechner!AF45))/1000)</f>
        <v>0.26768796377750004</v>
      </c>
      <c r="Y19" s="76" t="s">
        <v>95</v>
      </c>
      <c r="Z19" s="283"/>
      <c r="AA19" s="76" t="str">
        <f t="shared" si="6"/>
        <v>MWh/t Klinker</v>
      </c>
      <c r="AB19" s="15"/>
      <c r="AC19" s="499">
        <f t="shared" si="2"/>
        <v>13.384398188875002</v>
      </c>
      <c r="AD19" s="270" t="s">
        <v>94</v>
      </c>
      <c r="AE19" s="12"/>
      <c r="AF19" s="476">
        <f>IF(Z19="",X19,Z19)</f>
        <v>0.26768796377750004</v>
      </c>
      <c r="AH19" s="76"/>
      <c r="AI19" s="78">
        <f>('Bilanz E-LEILAC'!D36+'Bilanz E-LEILAC'!D33*(Rechner!AQ45+Rechner!AQ44))/1000</f>
        <v>0.94079781028877418</v>
      </c>
      <c r="AJ19" s="76" t="s">
        <v>95</v>
      </c>
      <c r="AK19" s="473"/>
      <c r="AL19" s="76" t="str">
        <f t="shared" si="7"/>
        <v>MWh/t Klinker</v>
      </c>
      <c r="AM19" s="474"/>
      <c r="AN19" s="499">
        <f t="shared" si="3"/>
        <v>47.03989051443871</v>
      </c>
      <c r="AO19" s="270" t="s">
        <v>94</v>
      </c>
      <c r="AP19" s="12"/>
      <c r="AQ19" s="476">
        <f>IF(AK19="",AI19,AK19)</f>
        <v>0.94079781028877418</v>
      </c>
    </row>
    <row r="20" spans="2:44">
      <c r="B20" s="76"/>
      <c r="C20" s="272" t="s">
        <v>9</v>
      </c>
      <c r="D20" s="491">
        <f>Input_Preise!J25</f>
        <v>63.4</v>
      </c>
      <c r="E20" s="76" t="s">
        <v>12</v>
      </c>
      <c r="F20" s="492"/>
      <c r="G20" s="76" t="str">
        <f t="shared" si="4"/>
        <v>€/t</v>
      </c>
      <c r="H20" s="283"/>
      <c r="I20" s="76"/>
      <c r="J20" s="493">
        <f>IF(Z8="ja",0,IF(OR(ISNA(VLOOKUP(Rechner!C20,Ergebnisse!$N$54:$R$57,5,FALSE)),ISBLANK(VLOOKUP(Rechner!C20,Ergebnisse!$N$54:$R$57,5,FALSE))),IF(NOT(ISBLANK($F20)),$F20,D20),VLOOKUP(Rechner!C20,Ergebnisse!$N$54:$R$57,5,FALSE)))</f>
        <v>0</v>
      </c>
      <c r="L20" s="76"/>
      <c r="M20" s="76"/>
      <c r="N20" s="76"/>
      <c r="O20" s="553"/>
      <c r="P20" s="76"/>
      <c r="Q20" s="484"/>
      <c r="R20" s="499"/>
      <c r="S20" s="270"/>
      <c r="T20" s="12"/>
      <c r="U20" s="477">
        <f>IF(O20="",M20,O20)</f>
        <v>0</v>
      </c>
      <c r="W20" s="76"/>
      <c r="X20" s="76">
        <f>'Bilanz Oxyfuel'!D36</f>
        <v>0.25</v>
      </c>
      <c r="Y20" s="76" t="s">
        <v>93</v>
      </c>
      <c r="Z20" s="283"/>
      <c r="AA20" s="76" t="str">
        <f t="shared" si="6"/>
        <v>t/t Klinker</v>
      </c>
      <c r="AB20" s="15"/>
      <c r="AC20" s="499">
        <f t="shared" si="2"/>
        <v>0</v>
      </c>
      <c r="AD20" s="270" t="s">
        <v>94</v>
      </c>
      <c r="AE20" s="12"/>
      <c r="AF20" s="478">
        <f>IF(Z20="",X20,Z20)</f>
        <v>0.25</v>
      </c>
      <c r="AH20" s="76"/>
      <c r="AI20" s="76"/>
      <c r="AJ20" s="76"/>
      <c r="AK20" s="484"/>
      <c r="AL20" s="76"/>
      <c r="AM20" s="485"/>
      <c r="AN20" s="499"/>
      <c r="AO20" s="270"/>
      <c r="AP20" s="76"/>
      <c r="AQ20" s="478"/>
    </row>
    <row r="21" spans="2:44" ht="15.6">
      <c r="B21" s="76"/>
      <c r="C21" s="273" t="s">
        <v>573</v>
      </c>
      <c r="D21" s="491">
        <f>IF(F22="Pipeline",Input_Preise!J28,Input_Preise!J29)</f>
        <v>36</v>
      </c>
      <c r="E21" s="76" t="s">
        <v>3</v>
      </c>
      <c r="F21" s="492"/>
      <c r="G21" s="76" t="str">
        <f t="shared" si="4"/>
        <v>€/tCO2</v>
      </c>
      <c r="H21" s="283"/>
      <c r="I21" s="76"/>
      <c r="J21" s="493">
        <f>IF(OR(ISNA(VLOOKUP(Rechner!C21,Ergebnisse!$N$54:$R$57,5,FALSE)),ISBLANK(VLOOKUP(Rechner!C21,Ergebnisse!$N$54:$R$57,5,FALSE))),IF(NOT(ISBLANK($F21)),$F21,D21),VLOOKUP(Rechner!C21,Ergebnisse!$N$54:$R$57,5,FALSE))</f>
        <v>36</v>
      </c>
      <c r="L21" s="76"/>
      <c r="M21" s="76"/>
      <c r="N21" s="76"/>
      <c r="O21" s="288"/>
      <c r="P21" s="76"/>
      <c r="Q21" s="286"/>
      <c r="R21" s="499"/>
      <c r="S21" s="270"/>
      <c r="T21" s="12"/>
      <c r="U21" s="478"/>
      <c r="W21" s="76"/>
      <c r="X21" s="78"/>
      <c r="Y21" s="76"/>
      <c r="Z21" s="90"/>
      <c r="AA21" s="76"/>
      <c r="AB21" s="270"/>
      <c r="AC21" s="499"/>
      <c r="AD21" s="270"/>
      <c r="AE21" s="12"/>
      <c r="AF21" s="478"/>
      <c r="AH21" s="76"/>
      <c r="AI21" s="76"/>
      <c r="AJ21" s="76"/>
      <c r="AK21" s="90"/>
      <c r="AL21" s="76"/>
      <c r="AM21" s="270"/>
      <c r="AN21" s="499"/>
      <c r="AO21" s="270"/>
      <c r="AP21" s="12"/>
      <c r="AQ21" s="478"/>
    </row>
    <row r="22" spans="2:44" ht="15.6">
      <c r="B22" s="76"/>
      <c r="C22" s="273" t="s">
        <v>574</v>
      </c>
      <c r="D22" s="447"/>
      <c r="E22" s="76"/>
      <c r="F22" s="646" t="s">
        <v>373</v>
      </c>
      <c r="G22" s="76"/>
      <c r="H22" s="90"/>
      <c r="I22" s="76"/>
      <c r="J22" s="493">
        <f>J21</f>
        <v>36</v>
      </c>
      <c r="L22" s="76"/>
      <c r="M22" s="76">
        <v>0</v>
      </c>
      <c r="N22" s="76" t="s">
        <v>93</v>
      </c>
      <c r="O22" s="287"/>
      <c r="P22" s="76" t="str">
        <f t="shared" ref="P22" si="12">N22</f>
        <v>t/t Klinker</v>
      </c>
      <c r="Q22" s="283"/>
      <c r="R22" s="499">
        <f>U22*$J22</f>
        <v>0</v>
      </c>
      <c r="S22" s="270" t="s">
        <v>94</v>
      </c>
      <c r="T22" s="12"/>
      <c r="U22" s="477">
        <f>IF(O22="",M22,O22)</f>
        <v>0</v>
      </c>
      <c r="W22" s="76"/>
      <c r="X22" s="451">
        <f>SUM(X44:X45)</f>
        <v>0.74434486500000019</v>
      </c>
      <c r="Y22" s="76" t="s">
        <v>93</v>
      </c>
      <c r="Z22" s="283"/>
      <c r="AA22" s="76" t="str">
        <f t="shared" ref="AA22" si="13">Y22</f>
        <v>t/t Klinker</v>
      </c>
      <c r="AB22" s="15"/>
      <c r="AC22" s="499">
        <f>AF22*$J22</f>
        <v>26.796415140000008</v>
      </c>
      <c r="AD22" s="270" t="s">
        <v>94</v>
      </c>
      <c r="AE22" s="12"/>
      <c r="AF22" s="476">
        <f>IF(Z22="",X22,Z22)</f>
        <v>0.74434486500000019</v>
      </c>
      <c r="AH22" s="76"/>
      <c r="AI22" s="451">
        <f>SUM(AI44:AI45)</f>
        <v>0.47101000000000004</v>
      </c>
      <c r="AJ22" s="76" t="s">
        <v>93</v>
      </c>
      <c r="AK22" s="283"/>
      <c r="AL22" s="76" t="str">
        <f t="shared" si="7"/>
        <v>t/t Klinker</v>
      </c>
      <c r="AM22" s="15"/>
      <c r="AN22" s="499">
        <f>AQ22*$J22</f>
        <v>16.95636</v>
      </c>
      <c r="AO22" s="270" t="s">
        <v>94</v>
      </c>
      <c r="AP22" s="12"/>
      <c r="AQ22" s="476">
        <f>IF(AK22="",AI22,AK22)</f>
        <v>0.47101000000000004</v>
      </c>
    </row>
    <row r="23" spans="2:44">
      <c r="B23" s="76"/>
      <c r="C23" s="272"/>
      <c r="D23" s="269"/>
      <c r="E23" s="76"/>
      <c r="F23" s="90"/>
      <c r="G23" s="76"/>
      <c r="H23" s="90"/>
      <c r="I23" s="76"/>
      <c r="L23" s="76"/>
      <c r="M23" s="76"/>
      <c r="N23" s="76"/>
      <c r="O23" s="90"/>
      <c r="P23" s="76"/>
      <c r="Q23" s="90"/>
      <c r="R23" s="499"/>
      <c r="S23" s="76"/>
      <c r="T23" s="12"/>
      <c r="U23" s="24"/>
      <c r="W23" s="76"/>
      <c r="X23" s="76"/>
      <c r="Y23" s="76"/>
      <c r="Z23" s="90"/>
      <c r="AA23" s="76"/>
      <c r="AB23" s="76"/>
      <c r="AC23" s="499"/>
      <c r="AD23" s="76"/>
      <c r="AE23" s="12"/>
      <c r="AF23" s="488"/>
      <c r="AH23" s="76"/>
      <c r="AI23" s="76"/>
      <c r="AJ23" s="76"/>
      <c r="AK23" s="90"/>
      <c r="AL23" s="76"/>
      <c r="AM23" s="76"/>
      <c r="AN23" s="499"/>
      <c r="AO23" s="76"/>
      <c r="AP23" s="12"/>
      <c r="AQ23" s="24"/>
    </row>
    <row r="24" spans="2:44">
      <c r="B24" s="76"/>
      <c r="C24" s="272" t="s">
        <v>31</v>
      </c>
      <c r="D24" s="269"/>
      <c r="E24" s="270"/>
      <c r="F24" s="90"/>
      <c r="G24" s="270"/>
      <c r="H24" s="286"/>
      <c r="I24" s="270"/>
      <c r="J24" s="472"/>
      <c r="L24" s="76"/>
      <c r="M24" s="78">
        <f>'Bilanz Referenz'!D98</f>
        <v>20</v>
      </c>
      <c r="N24" s="270" t="s">
        <v>94</v>
      </c>
      <c r="O24" s="283"/>
      <c r="P24" s="76" t="str">
        <f t="shared" si="5"/>
        <v>€/t Klinker</v>
      </c>
      <c r="Q24" s="283"/>
      <c r="R24" s="499">
        <f>U24</f>
        <v>20</v>
      </c>
      <c r="S24" s="270" t="s">
        <v>94</v>
      </c>
      <c r="T24" s="12"/>
      <c r="U24" s="477">
        <f>IF(O24="",M24,O24)</f>
        <v>20</v>
      </c>
      <c r="W24" s="76"/>
      <c r="X24" s="292">
        <f>'Bilanz Oxyfuel'!D94</f>
        <v>24.694708276797829</v>
      </c>
      <c r="Y24" s="502" t="s">
        <v>94</v>
      </c>
      <c r="Z24" s="492"/>
      <c r="AA24" s="76" t="str">
        <f t="shared" ref="AA24" si="14">Y24</f>
        <v>€/t Klinker</v>
      </c>
      <c r="AB24" s="15"/>
      <c r="AC24" s="499">
        <f>AF24</f>
        <v>24.694708276797829</v>
      </c>
      <c r="AD24" s="270" t="s">
        <v>94</v>
      </c>
      <c r="AE24" s="12"/>
      <c r="AF24" s="476">
        <f>IF(Z24="",X24,Z24)</f>
        <v>24.694708276797829</v>
      </c>
      <c r="AH24" s="76"/>
      <c r="AI24" s="499">
        <f>'Bilanz E-LEILAC'!D56</f>
        <v>22</v>
      </c>
      <c r="AJ24" s="502" t="s">
        <v>94</v>
      </c>
      <c r="AK24" s="492"/>
      <c r="AL24" s="76" t="str">
        <f t="shared" ref="AL24" si="15">AJ24</f>
        <v>€/t Klinker</v>
      </c>
      <c r="AM24" s="15"/>
      <c r="AN24" s="499">
        <f>AQ24</f>
        <v>22</v>
      </c>
      <c r="AO24" s="270" t="s">
        <v>94</v>
      </c>
      <c r="AP24" s="12"/>
      <c r="AQ24" s="476">
        <f>IF(AK24="",AI24,AK24)</f>
        <v>22</v>
      </c>
    </row>
    <row r="25" spans="2:44">
      <c r="B25" s="76"/>
      <c r="C25" s="272"/>
      <c r="D25" s="268"/>
      <c r="E25" s="76"/>
      <c r="F25" s="90"/>
      <c r="G25" s="76"/>
      <c r="H25" s="90"/>
      <c r="I25" s="76"/>
      <c r="L25" s="76"/>
      <c r="M25" s="76"/>
      <c r="N25" s="76"/>
      <c r="O25" s="90"/>
      <c r="P25" s="76"/>
      <c r="Q25" s="90"/>
      <c r="R25" s="89"/>
      <c r="S25" s="76"/>
      <c r="T25" s="12"/>
      <c r="U25" s="24"/>
      <c r="W25" s="76"/>
      <c r="X25" s="499"/>
      <c r="Y25" s="499"/>
      <c r="Z25" s="505"/>
      <c r="AA25" s="76"/>
      <c r="AB25" s="76"/>
      <c r="AC25" s="499"/>
      <c r="AD25" s="76"/>
      <c r="AE25" s="76"/>
      <c r="AF25" s="24"/>
      <c r="AH25" s="76"/>
      <c r="AI25" s="499"/>
      <c r="AJ25" s="499"/>
      <c r="AK25" s="505"/>
      <c r="AL25" s="76"/>
      <c r="AM25" s="76"/>
      <c r="AN25" s="499"/>
      <c r="AO25" s="76"/>
      <c r="AP25" s="12"/>
      <c r="AQ25" s="24"/>
    </row>
    <row r="26" spans="2:44">
      <c r="B26" s="76"/>
      <c r="C26" s="271" t="s">
        <v>88</v>
      </c>
      <c r="D26" s="267"/>
      <c r="E26" s="86"/>
      <c r="F26" s="210"/>
      <c r="G26" s="86"/>
      <c r="H26" s="210"/>
      <c r="I26" s="86"/>
      <c r="J26" s="37"/>
      <c r="K26" s="37"/>
      <c r="L26" s="86"/>
      <c r="M26" s="86"/>
      <c r="N26" s="86"/>
      <c r="O26" s="210"/>
      <c r="P26" s="86"/>
      <c r="Q26" s="210"/>
      <c r="R26" s="500">
        <f>SUM(R9:R25)</f>
        <v>36.247634898775516</v>
      </c>
      <c r="S26" s="280" t="s">
        <v>94</v>
      </c>
      <c r="T26" s="12"/>
      <c r="U26" s="479"/>
      <c r="W26" s="76"/>
      <c r="X26" s="500"/>
      <c r="Y26" s="500"/>
      <c r="Z26" s="506"/>
      <c r="AA26" s="86"/>
      <c r="AB26" s="86"/>
      <c r="AC26" s="500">
        <f>SUM(AC9:AC25)</f>
        <v>76.74815650444836</v>
      </c>
      <c r="AD26" s="280" t="s">
        <v>94</v>
      </c>
      <c r="AE26" s="280"/>
      <c r="AF26" s="479"/>
      <c r="AH26" s="76"/>
      <c r="AI26" s="500"/>
      <c r="AJ26" s="500"/>
      <c r="AK26" s="506"/>
      <c r="AL26" s="86"/>
      <c r="AM26" s="86"/>
      <c r="AN26" s="500">
        <f>SUM(AN9:AN25)</f>
        <v>95.811741574225536</v>
      </c>
      <c r="AO26" s="280" t="s">
        <v>94</v>
      </c>
      <c r="AP26" s="12"/>
      <c r="AQ26" s="479"/>
    </row>
    <row r="27" spans="2:44">
      <c r="B27" s="76"/>
      <c r="C27" s="76"/>
      <c r="D27" s="268"/>
      <c r="E27" s="76"/>
      <c r="F27" s="90"/>
      <c r="G27" s="76"/>
      <c r="H27" s="90"/>
      <c r="I27" s="76"/>
      <c r="L27" s="76"/>
      <c r="M27" s="76"/>
      <c r="N27" s="76"/>
      <c r="O27" s="90"/>
      <c r="P27" s="76"/>
      <c r="Q27" s="90"/>
      <c r="R27" s="499"/>
      <c r="S27" s="76"/>
      <c r="T27" s="12"/>
      <c r="U27" s="24"/>
      <c r="W27" s="76"/>
      <c r="X27" s="499"/>
      <c r="Y27" s="499"/>
      <c r="Z27" s="505"/>
      <c r="AA27" s="76"/>
      <c r="AB27" s="76"/>
      <c r="AC27" s="499"/>
      <c r="AD27" s="76"/>
      <c r="AE27" s="76"/>
      <c r="AF27" s="24"/>
      <c r="AH27" s="76"/>
      <c r="AI27" s="499"/>
      <c r="AJ27" s="499"/>
      <c r="AK27" s="505"/>
      <c r="AL27" s="76"/>
      <c r="AM27" s="76"/>
      <c r="AN27" s="499"/>
      <c r="AO27" s="76"/>
      <c r="AP27" s="12"/>
      <c r="AQ27" s="24"/>
    </row>
    <row r="28" spans="2:44">
      <c r="B28" s="76"/>
      <c r="C28" s="275" t="s">
        <v>89</v>
      </c>
      <c r="D28" s="268"/>
      <c r="E28" s="76"/>
      <c r="F28" s="90"/>
      <c r="G28" s="76"/>
      <c r="H28" s="90"/>
      <c r="I28" s="76"/>
      <c r="L28" s="76"/>
      <c r="M28" s="76"/>
      <c r="N28" s="76"/>
      <c r="O28" s="90"/>
      <c r="P28" s="76"/>
      <c r="Q28" s="90"/>
      <c r="R28" s="499"/>
      <c r="S28" s="76"/>
      <c r="T28" s="12"/>
      <c r="U28" s="24"/>
      <c r="W28" s="76"/>
      <c r="X28" s="499"/>
      <c r="Y28" s="499"/>
      <c r="Z28" s="505"/>
      <c r="AA28" s="76"/>
      <c r="AB28" s="76"/>
      <c r="AC28" s="499"/>
      <c r="AD28" s="76"/>
      <c r="AE28" s="76"/>
      <c r="AF28" s="24"/>
      <c r="AH28" s="76"/>
      <c r="AI28" s="499"/>
      <c r="AJ28" s="499"/>
      <c r="AK28" s="505"/>
      <c r="AL28" s="76"/>
      <c r="AM28" s="76"/>
      <c r="AN28" s="499"/>
      <c r="AO28" s="76"/>
      <c r="AP28" s="12"/>
      <c r="AQ28" s="24"/>
    </row>
    <row r="29" spans="2:44">
      <c r="B29" s="76"/>
      <c r="C29" s="274" t="s">
        <v>520</v>
      </c>
      <c r="D29" s="268"/>
      <c r="E29" s="76"/>
      <c r="F29" s="90"/>
      <c r="G29" s="76"/>
      <c r="H29" s="90"/>
      <c r="I29" s="76"/>
      <c r="L29" s="76"/>
      <c r="M29" s="497"/>
      <c r="N29" s="502"/>
      <c r="O29" s="90"/>
      <c r="P29" s="76"/>
      <c r="Q29" s="90"/>
      <c r="R29" s="497"/>
      <c r="S29" s="270"/>
      <c r="T29" s="12"/>
      <c r="U29" s="503"/>
      <c r="W29" s="76"/>
      <c r="X29" s="497">
        <v>100</v>
      </c>
      <c r="Y29" s="502" t="s">
        <v>15</v>
      </c>
      <c r="Z29" s="552"/>
      <c r="AA29" s="76" t="str">
        <f>Y29</f>
        <v>%</v>
      </c>
      <c r="AB29" s="473"/>
      <c r="AC29" s="497"/>
      <c r="AD29" s="270"/>
      <c r="AE29" s="12"/>
      <c r="AF29" s="503">
        <f>IF(Z29="",X29,Z29)</f>
        <v>100</v>
      </c>
      <c r="AH29" s="76"/>
      <c r="AI29" s="497">
        <v>100</v>
      </c>
      <c r="AJ29" s="502" t="s">
        <v>15</v>
      </c>
      <c r="AK29" s="552"/>
      <c r="AL29" s="76" t="str">
        <f>AJ29</f>
        <v>%</v>
      </c>
      <c r="AM29" s="473"/>
      <c r="AN29" s="497"/>
      <c r="AO29" s="270"/>
      <c r="AP29" s="12"/>
      <c r="AQ29" s="503">
        <f>IF(AK29="",AI29,AK29)</f>
        <v>100</v>
      </c>
    </row>
    <row r="30" spans="2:44">
      <c r="B30" s="76"/>
      <c r="C30" s="507" t="s">
        <v>519</v>
      </c>
      <c r="D30" s="268"/>
      <c r="E30" s="76"/>
      <c r="F30" s="90"/>
      <c r="G30" s="76"/>
      <c r="H30" s="90"/>
      <c r="I30" s="76"/>
      <c r="L30" s="76"/>
      <c r="M30" s="497">
        <f>IF(Ergebnisse!$J$16="Greenfield",'Bilanz Referenz'!D93,0)</f>
        <v>231</v>
      </c>
      <c r="N30" s="502" t="s">
        <v>90</v>
      </c>
      <c r="O30" s="552"/>
      <c r="P30" s="76" t="str">
        <f>N30</f>
        <v>€/t Kap.</v>
      </c>
      <c r="Q30" s="473"/>
      <c r="R30" s="497">
        <f>U30/Input_Preise!$J$37+U30*Input_Preise!$J$39/100/2</f>
        <v>32.340000000000003</v>
      </c>
      <c r="S30" s="270" t="s">
        <v>94</v>
      </c>
      <c r="T30" s="12"/>
      <c r="U30" s="503">
        <f>IF(O30="",M30,O30)</f>
        <v>231</v>
      </c>
      <c r="W30" s="76"/>
      <c r="X30" s="497">
        <f>IF(Ergebnisse!$J$16="Greenfield",'Bilanz Oxyfuel'!D79-'Bilanz Oxyfuel'!D90,'Bilanz Oxyfuel'!D83-'Bilanz Oxyfuel'!D90)</f>
        <v>257.91179667231199</v>
      </c>
      <c r="Y30" s="502" t="s">
        <v>90</v>
      </c>
      <c r="Z30" s="492"/>
      <c r="AA30" s="76" t="str">
        <f>Y30</f>
        <v>€/t Kap.</v>
      </c>
      <c r="AB30" s="15"/>
      <c r="AC30" s="497">
        <f>AF30/Input_Preise!$J$37+AF30*Input_Preise!$J$39/100/2</f>
        <v>36.107651534123676</v>
      </c>
      <c r="AD30" s="270" t="s">
        <v>94</v>
      </c>
      <c r="AE30" s="12"/>
      <c r="AF30" s="476">
        <f>IF(Z30="",X30,Z30)*$AF$29/100</f>
        <v>257.91179667231199</v>
      </c>
      <c r="AH30" s="76"/>
      <c r="AI30" s="497">
        <f>IF(Ergebnisse!$J$16="Greenfield",'Bilanz E-LEILAC'!D51,'Bilanz E-LEILAC'!D53)</f>
        <v>250.5</v>
      </c>
      <c r="AJ30" s="502" t="s">
        <v>90</v>
      </c>
      <c r="AK30" s="552"/>
      <c r="AL30" s="76"/>
      <c r="AM30" s="474"/>
      <c r="AN30" s="497">
        <f>AQ30/Input_Preise!J37+AQ30*Input_Preise!J39/100/2</f>
        <v>35.07</v>
      </c>
      <c r="AO30" s="270" t="s">
        <v>94</v>
      </c>
      <c r="AP30" s="12"/>
      <c r="AQ30" s="476">
        <f>IF(AK30="",AI30,AK30)*$AQ$29/100</f>
        <v>250.5</v>
      </c>
    </row>
    <row r="31" spans="2:44">
      <c r="B31" s="76"/>
      <c r="C31" s="274" t="s">
        <v>378</v>
      </c>
      <c r="D31" s="268"/>
      <c r="E31" s="76"/>
      <c r="F31" s="90"/>
      <c r="G31" s="76"/>
      <c r="H31" s="90"/>
      <c r="I31" s="76"/>
      <c r="L31" s="76"/>
      <c r="M31" s="499"/>
      <c r="N31" s="502"/>
      <c r="O31" s="551"/>
      <c r="P31" s="76"/>
      <c r="Q31" s="484"/>
      <c r="R31" s="497"/>
      <c r="S31" s="270"/>
      <c r="T31" s="12"/>
      <c r="U31" s="503">
        <f>IF(O31="",M31,O31)</f>
        <v>0</v>
      </c>
      <c r="W31" s="76"/>
      <c r="X31" s="497">
        <f>IF(Z8="ja",'Bilanz Oxyfuel'!D90,0)</f>
        <v>32.088203327688007</v>
      </c>
      <c r="Y31" s="502" t="s">
        <v>90</v>
      </c>
      <c r="Z31" s="492"/>
      <c r="AA31" s="76" t="str">
        <f>Y31</f>
        <v>€/t Kap.</v>
      </c>
      <c r="AB31" s="15"/>
      <c r="AC31" s="497">
        <f>AF31/Input_Preise!$J$37+AF31*Input_Preise!$J$39/100/2</f>
        <v>4.4923484658763213</v>
      </c>
      <c r="AD31" s="270" t="s">
        <v>94</v>
      </c>
      <c r="AE31" s="12"/>
      <c r="AF31" s="476">
        <f>IF(Z31="",X31,Z31)*$AF$29/100</f>
        <v>32.088203327688007</v>
      </c>
      <c r="AH31" s="76"/>
      <c r="AI31" s="499"/>
      <c r="AJ31" s="502"/>
      <c r="AK31" s="551"/>
      <c r="AL31" s="76"/>
      <c r="AM31" s="485"/>
      <c r="AN31" s="497"/>
      <c r="AO31" s="270"/>
      <c r="AP31" s="12"/>
      <c r="AQ31" s="476">
        <f>IF(AK31="",AI31,AK31)</f>
        <v>0</v>
      </c>
    </row>
    <row r="32" spans="2:44">
      <c r="B32" s="76"/>
      <c r="C32" s="275" t="s">
        <v>91</v>
      </c>
      <c r="D32" s="267"/>
      <c r="E32" s="86"/>
      <c r="F32" s="210"/>
      <c r="G32" s="86"/>
      <c r="H32" s="210"/>
      <c r="I32" s="86"/>
      <c r="J32" s="37"/>
      <c r="K32" s="37"/>
      <c r="L32" s="86"/>
      <c r="M32" s="86"/>
      <c r="N32" s="86"/>
      <c r="O32" s="210"/>
      <c r="P32" s="86"/>
      <c r="Q32" s="210"/>
      <c r="R32" s="501">
        <f>SUM(R30:R31)</f>
        <v>32.340000000000003</v>
      </c>
      <c r="S32" s="270" t="s">
        <v>94</v>
      </c>
      <c r="T32" s="270"/>
      <c r="U32" s="504"/>
      <c r="V32" s="37"/>
      <c r="W32" s="86"/>
      <c r="X32" s="86"/>
      <c r="Y32" s="86"/>
      <c r="Z32" s="210"/>
      <c r="AA32" s="86"/>
      <c r="AB32" s="86"/>
      <c r="AC32" s="501">
        <f>SUM(AC30:AC31)</f>
        <v>40.599999999999994</v>
      </c>
      <c r="AD32" s="270" t="s">
        <v>94</v>
      </c>
      <c r="AE32" s="270"/>
      <c r="AF32" s="472"/>
      <c r="AG32" s="37"/>
      <c r="AH32" s="86"/>
      <c r="AI32" s="86"/>
      <c r="AJ32" s="86"/>
      <c r="AK32" s="210"/>
      <c r="AL32" s="86"/>
      <c r="AM32" s="86"/>
      <c r="AN32" s="501">
        <f>SUM(AN30:AN31)</f>
        <v>35.07</v>
      </c>
      <c r="AO32" s="270" t="s">
        <v>94</v>
      </c>
      <c r="AP32" s="12"/>
      <c r="AQ32" s="472"/>
      <c r="AR32" s="37"/>
    </row>
    <row r="33" spans="2:43">
      <c r="B33" s="76"/>
      <c r="C33" s="76"/>
      <c r="D33" s="268"/>
      <c r="E33" s="76"/>
      <c r="F33" s="90"/>
      <c r="G33" s="76"/>
      <c r="H33" s="90"/>
      <c r="I33" s="76"/>
      <c r="L33" s="76"/>
      <c r="M33" s="76"/>
      <c r="N33" s="76"/>
      <c r="O33" s="90"/>
      <c r="P33" s="76"/>
      <c r="Q33" s="90"/>
      <c r="R33" s="449"/>
      <c r="S33" s="76"/>
      <c r="T33" s="76"/>
      <c r="U33" s="24"/>
      <c r="W33" s="76"/>
      <c r="X33" s="76"/>
      <c r="Y33" s="76"/>
      <c r="Z33" s="90"/>
      <c r="AA33" s="76"/>
      <c r="AB33" s="76"/>
      <c r="AC33" s="449"/>
      <c r="AD33" s="76"/>
      <c r="AE33" s="76"/>
      <c r="AF33" s="24"/>
      <c r="AH33" s="76"/>
      <c r="AI33" s="76"/>
      <c r="AJ33" s="76"/>
      <c r="AK33" s="90"/>
      <c r="AL33" s="76"/>
      <c r="AM33" s="76"/>
      <c r="AN33" s="449"/>
      <c r="AO33" s="76"/>
      <c r="AP33" s="76"/>
      <c r="AQ33" s="24"/>
    </row>
    <row r="34" spans="2:43" ht="15" customHeight="1">
      <c r="B34" s="76"/>
      <c r="C34" s="634" t="s">
        <v>550</v>
      </c>
      <c r="D34" s="494">
        <v>50</v>
      </c>
      <c r="E34" s="495" t="s">
        <v>7</v>
      </c>
      <c r="F34" s="496"/>
      <c r="G34" s="469" t="s">
        <v>7</v>
      </c>
      <c r="H34" s="470"/>
      <c r="I34" s="223"/>
      <c r="J34" s="471">
        <f>IF(ISBLANK(F34),D34,F34)</f>
        <v>50</v>
      </c>
      <c r="L34" s="76"/>
      <c r="M34" s="76"/>
      <c r="N34" s="76"/>
      <c r="O34" s="90"/>
      <c r="P34" s="76"/>
      <c r="Q34" s="90"/>
      <c r="R34" s="89"/>
      <c r="S34" s="76"/>
      <c r="T34" s="76"/>
      <c r="U34" s="24"/>
      <c r="W34" s="76"/>
      <c r="X34" s="76"/>
      <c r="Y34" s="76"/>
      <c r="Z34" s="90"/>
      <c r="AA34" s="76"/>
      <c r="AB34" s="76"/>
      <c r="AC34" s="89"/>
      <c r="AD34" s="76"/>
      <c r="AE34" s="76"/>
      <c r="AF34" s="24"/>
      <c r="AH34" s="76"/>
      <c r="AI34" s="76"/>
      <c r="AJ34" s="76"/>
      <c r="AK34" s="90"/>
      <c r="AL34" s="76"/>
      <c r="AM34" s="76"/>
      <c r="AN34" s="89"/>
      <c r="AO34" s="76"/>
      <c r="AP34" s="76"/>
      <c r="AQ34" s="24"/>
    </row>
    <row r="35" spans="2:43" ht="15" customHeight="1">
      <c r="B35" s="76"/>
      <c r="C35" s="634" t="s">
        <v>551</v>
      </c>
      <c r="D35" s="491">
        <v>0</v>
      </c>
      <c r="E35" s="497" t="s">
        <v>7</v>
      </c>
      <c r="F35" s="498"/>
      <c r="G35" s="88" t="s">
        <v>7</v>
      </c>
      <c r="H35" s="470"/>
      <c r="I35" s="12"/>
      <c r="J35" s="471">
        <f>IF(ISBLANK(F35),D35,F35)</f>
        <v>0</v>
      </c>
      <c r="L35" s="76"/>
      <c r="M35" s="76"/>
      <c r="N35" s="76"/>
      <c r="O35" s="90"/>
      <c r="P35" s="76"/>
      <c r="Q35" s="90"/>
      <c r="R35" s="89"/>
      <c r="S35" s="76"/>
      <c r="T35" s="76"/>
      <c r="U35" s="24"/>
      <c r="W35" s="76"/>
      <c r="X35" s="76"/>
      <c r="Y35" s="76"/>
      <c r="Z35" s="90"/>
      <c r="AA35" s="76"/>
      <c r="AB35" s="76"/>
      <c r="AC35" s="89"/>
      <c r="AD35" s="76"/>
      <c r="AE35" s="76"/>
      <c r="AF35" s="24"/>
      <c r="AH35" s="76"/>
      <c r="AI35" s="76"/>
      <c r="AJ35" s="76"/>
      <c r="AK35" s="90"/>
      <c r="AL35" s="76"/>
      <c r="AM35" s="76"/>
      <c r="AN35" s="89"/>
      <c r="AO35" s="76"/>
      <c r="AP35" s="76"/>
      <c r="AQ35" s="24"/>
    </row>
    <row r="36" spans="2:43" ht="15" customHeight="1">
      <c r="B36" s="76"/>
      <c r="C36" s="276" t="s">
        <v>552</v>
      </c>
      <c r="D36" s="467">
        <f>J34</f>
        <v>50</v>
      </c>
      <c r="E36" s="40" t="s">
        <v>7</v>
      </c>
      <c r="F36" s="468"/>
      <c r="G36" s="469" t="s">
        <v>7</v>
      </c>
      <c r="H36" s="470"/>
      <c r="I36" s="223"/>
      <c r="J36" s="471">
        <f>IF(Ergebnisse!$J$18="ja",IF(ISBLANK(F36),D36,F36),0)</f>
        <v>0</v>
      </c>
      <c r="L36" s="76"/>
      <c r="M36" s="76"/>
      <c r="N36" s="76"/>
      <c r="O36" s="90"/>
      <c r="P36" s="76"/>
      <c r="Q36" s="90"/>
      <c r="R36" s="89"/>
      <c r="S36" s="76"/>
      <c r="T36" s="76"/>
      <c r="U36" s="24"/>
      <c r="W36" s="76"/>
      <c r="X36" s="76"/>
      <c r="Y36" s="76"/>
      <c r="Z36" s="90"/>
      <c r="AA36" s="76"/>
      <c r="AB36" s="76"/>
      <c r="AC36" s="89"/>
      <c r="AD36" s="76"/>
      <c r="AE36" s="76"/>
      <c r="AF36" s="24"/>
      <c r="AH36" s="76"/>
      <c r="AI36" s="76"/>
      <c r="AJ36" s="76"/>
      <c r="AK36" s="90"/>
      <c r="AL36" s="76"/>
      <c r="AM36" s="76"/>
      <c r="AN36" s="89"/>
      <c r="AO36" s="76"/>
      <c r="AP36" s="76"/>
      <c r="AQ36" s="24"/>
    </row>
    <row r="37" spans="2:43" ht="15" customHeight="1">
      <c r="B37" s="76"/>
      <c r="C37" s="276"/>
      <c r="D37" s="467"/>
      <c r="E37" s="40"/>
      <c r="F37" s="635"/>
      <c r="G37" s="88"/>
      <c r="H37" s="636"/>
      <c r="I37" s="223"/>
      <c r="J37" s="471"/>
      <c r="L37" s="76"/>
      <c r="M37" s="76"/>
      <c r="N37" s="76"/>
      <c r="O37" s="90"/>
      <c r="P37" s="76"/>
      <c r="Q37" s="90"/>
      <c r="R37" s="89"/>
      <c r="S37" s="76"/>
      <c r="T37" s="76"/>
      <c r="U37" s="24"/>
      <c r="W37" s="76"/>
      <c r="X37" s="76"/>
      <c r="Y37" s="76"/>
      <c r="Z37" s="90"/>
      <c r="AA37" s="76"/>
      <c r="AB37" s="76"/>
      <c r="AC37" s="89"/>
      <c r="AD37" s="76"/>
      <c r="AE37" s="76"/>
      <c r="AF37" s="24"/>
      <c r="AH37" s="76"/>
      <c r="AI37" s="76"/>
      <c r="AJ37" s="76"/>
      <c r="AK37" s="90"/>
      <c r="AL37" s="76"/>
      <c r="AM37" s="76"/>
      <c r="AN37" s="89"/>
      <c r="AO37" s="76"/>
      <c r="AP37" s="76"/>
      <c r="AQ37" s="24"/>
    </row>
    <row r="38" spans="2:43" ht="15.6">
      <c r="B38" s="76"/>
      <c r="C38" s="276" t="s">
        <v>553</v>
      </c>
      <c r="D38" s="491"/>
      <c r="E38" s="497"/>
      <c r="F38" s="536"/>
      <c r="G38" s="88"/>
      <c r="H38" s="537"/>
      <c r="I38" s="12"/>
      <c r="J38" s="471"/>
      <c r="L38" s="76"/>
      <c r="M38" s="76"/>
      <c r="N38" s="76"/>
      <c r="O38" s="90"/>
      <c r="P38" s="76"/>
      <c r="Q38" s="90"/>
      <c r="R38" s="89"/>
      <c r="S38" s="76"/>
      <c r="T38" s="76"/>
      <c r="U38" s="24"/>
      <c r="W38" s="76"/>
      <c r="X38" s="76"/>
      <c r="Y38" s="76"/>
      <c r="Z38" s="90"/>
      <c r="AA38" s="76"/>
      <c r="AB38" s="76"/>
      <c r="AC38" s="89"/>
      <c r="AD38" s="76"/>
      <c r="AE38" s="76"/>
      <c r="AF38" s="24"/>
      <c r="AH38" s="76"/>
      <c r="AI38" s="76"/>
      <c r="AJ38" s="76"/>
      <c r="AK38" s="90"/>
      <c r="AL38" s="76"/>
      <c r="AM38" s="76"/>
      <c r="AN38" s="89"/>
      <c r="AO38" s="76"/>
      <c r="AP38" s="76"/>
      <c r="AQ38" s="24"/>
    </row>
    <row r="39" spans="2:43" ht="15.6">
      <c r="B39" s="76"/>
      <c r="C39" s="533" t="s">
        <v>554</v>
      </c>
      <c r="D39" s="268"/>
      <c r="E39" s="76"/>
      <c r="F39" s="90"/>
      <c r="G39" s="76"/>
      <c r="H39" s="90"/>
      <c r="I39" s="76"/>
      <c r="L39" s="76"/>
      <c r="M39" s="450">
        <f>'Bilanz Referenz'!D75/1000</f>
        <v>0.53600000000000003</v>
      </c>
      <c r="N39" s="76" t="s">
        <v>93</v>
      </c>
      <c r="O39" s="283"/>
      <c r="P39" s="76" t="str">
        <f t="shared" ref="P39:P48" si="16">N39</f>
        <v>t/t Klinker</v>
      </c>
      <c r="Q39" s="283"/>
      <c r="R39" s="89"/>
      <c r="S39" s="76"/>
      <c r="T39" s="12"/>
      <c r="U39" s="480">
        <f>IF(O39="",M39,O39)</f>
        <v>0.53600000000000003</v>
      </c>
      <c r="W39" s="76"/>
      <c r="X39" s="450">
        <f>'Bilanz Oxyfuel'!D61/1000</f>
        <v>0.53600000000000003</v>
      </c>
      <c r="Y39" s="76" t="s">
        <v>93</v>
      </c>
      <c r="Z39" s="283"/>
      <c r="AA39" s="76" t="str">
        <f t="shared" ref="AA39:AA47" si="17">Y39</f>
        <v>t/t Klinker</v>
      </c>
      <c r="AB39" s="15"/>
      <c r="AC39" s="89"/>
      <c r="AD39" s="76"/>
      <c r="AE39" s="12"/>
      <c r="AF39" s="476">
        <f t="shared" ref="AF39:AF48" si="18">IF(Z39="",X39,Z39)</f>
        <v>0.53600000000000003</v>
      </c>
      <c r="AH39" s="76"/>
      <c r="AI39" s="450">
        <f>'Bilanz E-LEILAC'!D41/1000</f>
        <v>0.53600000000000003</v>
      </c>
      <c r="AJ39" s="76" t="s">
        <v>93</v>
      </c>
      <c r="AK39" s="283"/>
      <c r="AL39" s="76" t="str">
        <f>AJ39</f>
        <v>t/t Klinker</v>
      </c>
      <c r="AM39" s="15"/>
      <c r="AN39" s="89"/>
      <c r="AO39" s="76"/>
      <c r="AP39" s="12"/>
      <c r="AQ39" s="476">
        <f t="shared" ref="AQ39:AQ48" si="19">IF(AK39="",AI39,AK39)</f>
        <v>0.53600000000000003</v>
      </c>
    </row>
    <row r="40" spans="2:43" ht="15.6">
      <c r="B40" s="76"/>
      <c r="C40" s="533" t="s">
        <v>555</v>
      </c>
      <c r="D40" s="268"/>
      <c r="E40" s="76"/>
      <c r="F40" s="90"/>
      <c r="G40" s="76"/>
      <c r="H40" s="90"/>
      <c r="I40" s="76"/>
      <c r="L40" s="76"/>
      <c r="M40" s="450">
        <f>(U10*'Bilanz Referenz'!E21+Rechner!U11*'Bilanz Referenz'!E25+Rechner!U12*'Bilanz Referenz'!E29+Rechner!U13*'Bilanz Referenz'!E32+Rechner!U14*'Bilanz Referenz'!E36+Rechner!U17*'Bilanz Referenz'!E49)*3.6/1000</f>
        <v>0.22919960000000003</v>
      </c>
      <c r="N40" s="76" t="s">
        <v>93</v>
      </c>
      <c r="O40" s="283"/>
      <c r="P40" s="76" t="str">
        <f t="shared" si="16"/>
        <v>t/t Klinker</v>
      </c>
      <c r="Q40" s="283"/>
      <c r="R40" s="89"/>
      <c r="S40" s="76"/>
      <c r="T40" s="12"/>
      <c r="U40" s="481">
        <f>IF(O40="",M40,O40)</f>
        <v>0.22919960000000003</v>
      </c>
      <c r="W40" s="76"/>
      <c r="X40" s="450">
        <f>(Rechner!AF10*'Bilanz Oxyfuel'!E17+Rechner!AF11*'Bilanz Oxyfuel'!E18+Rechner!AF12*'Bilanz Oxyfuel'!E19+Rechner!AF13*'Bilanz Oxyfuel'!E20+Rechner!AF14*'Bilanz Oxyfuel'!E21+Rechner!AF17*'Bilanz Oxyfuel'!E25)*3.6/1000</f>
        <v>0.22919960000000003</v>
      </c>
      <c r="Y40" s="76" t="s">
        <v>93</v>
      </c>
      <c r="Z40" s="534"/>
      <c r="AA40" s="76" t="str">
        <f t="shared" si="17"/>
        <v>t/t Klinker</v>
      </c>
      <c r="AB40" s="538"/>
      <c r="AC40" s="89"/>
      <c r="AD40" s="76"/>
      <c r="AE40" s="12"/>
      <c r="AF40" s="476">
        <f t="shared" si="18"/>
        <v>0.22919960000000003</v>
      </c>
      <c r="AH40" s="76"/>
      <c r="AI40" s="450">
        <f>(AQ10*'Bilanz E-LEILAC'!E17+Rechner!AQ11*'Bilanz E-LEILAC'!E18+Rechner!AQ12*'Bilanz E-LEILAC'!E19+Rechner!AQ13*'Bilanz E-LEILAC'!E20+Rechner!AQ14*'Bilanz E-LEILAC'!E21+Rechner!AQ17*'Bilanz E-LEILAC'!E25)*3.6/1000</f>
        <v>8.9721333333333333E-2</v>
      </c>
      <c r="AJ40" s="76" t="s">
        <v>93</v>
      </c>
      <c r="AK40" s="534"/>
      <c r="AL40" s="76" t="str">
        <f>AJ40</f>
        <v>t/t Klinker</v>
      </c>
      <c r="AM40" s="538"/>
      <c r="AN40" s="89"/>
      <c r="AO40" s="76"/>
      <c r="AP40" s="12"/>
      <c r="AQ40" s="476">
        <f t="shared" si="19"/>
        <v>8.9721333333333333E-2</v>
      </c>
    </row>
    <row r="41" spans="2:43" ht="15.6">
      <c r="B41" s="76"/>
      <c r="C41" s="533" t="s">
        <v>556</v>
      </c>
      <c r="D41" s="268"/>
      <c r="E41" s="76"/>
      <c r="F41" s="90"/>
      <c r="G41" s="76"/>
      <c r="H41" s="90"/>
      <c r="I41" s="76"/>
      <c r="L41" s="76"/>
      <c r="M41" s="450">
        <f>(U10*'Bilanz Referenz'!F21+Rechner!U15*'Bilanz Referenz'!F39+Rechner!U16*'Bilanz Referenz'!F42)*3.6/1000</f>
        <v>6.1850249999999996E-2</v>
      </c>
      <c r="N41" s="76" t="s">
        <v>93</v>
      </c>
      <c r="O41" s="283"/>
      <c r="P41" s="76" t="str">
        <f t="shared" si="16"/>
        <v>t/t Klinker</v>
      </c>
      <c r="Q41" s="283"/>
      <c r="R41" s="89"/>
      <c r="S41" s="76"/>
      <c r="T41" s="12"/>
      <c r="U41" s="481">
        <f>IF(O41="",M41,O41)</f>
        <v>6.1850249999999996E-2</v>
      </c>
      <c r="W41" s="76"/>
      <c r="X41" s="450">
        <f>(AF10*'Bilanz Oxyfuel'!F17+Rechner!AF15*'Bilanz Oxyfuel'!F22+Rechner!AF16*'Bilanz Oxyfuel'!F23)*3.6/1000</f>
        <v>6.1850249999999996E-2</v>
      </c>
      <c r="Y41" s="76" t="s">
        <v>93</v>
      </c>
      <c r="Z41" s="473"/>
      <c r="AA41" s="76" t="str">
        <f t="shared" si="17"/>
        <v>t/t Klinker</v>
      </c>
      <c r="AB41" s="474"/>
      <c r="AC41" s="89"/>
      <c r="AD41" s="76"/>
      <c r="AE41" s="12"/>
      <c r="AF41" s="476">
        <f t="shared" si="18"/>
        <v>6.1850249999999996E-2</v>
      </c>
      <c r="AH41" s="76"/>
      <c r="AI41" s="450">
        <f>(AQ10*'Bilanz E-LEILAC'!F17+Rechner!AQ15*'Bilanz E-LEILAC'!F22+Rechner!AQ16*'Bilanz E-LEILAC'!F23)*3.6/1000</f>
        <v>1.3595750000000002E-2</v>
      </c>
      <c r="AJ41" s="76" t="s">
        <v>93</v>
      </c>
      <c r="AK41" s="473"/>
      <c r="AL41" s="76" t="str">
        <f>AJ41</f>
        <v>t/t Klinker</v>
      </c>
      <c r="AM41" s="474"/>
      <c r="AN41" s="89"/>
      <c r="AO41" s="76"/>
      <c r="AP41" s="12"/>
      <c r="AQ41" s="476">
        <f t="shared" si="19"/>
        <v>1.3595750000000002E-2</v>
      </c>
    </row>
    <row r="42" spans="2:43" ht="15.6">
      <c r="B42" s="76"/>
      <c r="C42" s="547" t="s">
        <v>557</v>
      </c>
      <c r="D42" s="268"/>
      <c r="E42" s="76"/>
      <c r="F42" s="90"/>
      <c r="G42" s="76"/>
      <c r="H42" s="90"/>
      <c r="I42" s="76"/>
      <c r="L42" s="76"/>
      <c r="M42" s="450"/>
      <c r="N42" s="76"/>
      <c r="O42" s="484"/>
      <c r="P42" s="76"/>
      <c r="Q42" s="484"/>
      <c r="R42" s="89"/>
      <c r="S42" s="76"/>
      <c r="T42" s="12"/>
      <c r="U42" s="481"/>
      <c r="W42" s="76"/>
      <c r="X42" s="450"/>
      <c r="Y42" s="76"/>
      <c r="Z42" s="484"/>
      <c r="AA42" s="76"/>
      <c r="AB42" s="485"/>
      <c r="AC42" s="89"/>
      <c r="AD42" s="76"/>
      <c r="AE42" s="12"/>
      <c r="AF42" s="476"/>
      <c r="AH42" s="76"/>
      <c r="AI42" s="450"/>
      <c r="AJ42" s="76"/>
      <c r="AK42" s="484"/>
      <c r="AL42" s="76"/>
      <c r="AM42" s="485"/>
      <c r="AN42" s="89"/>
      <c r="AO42" s="76"/>
      <c r="AP42" s="12"/>
      <c r="AQ42" s="476"/>
    </row>
    <row r="43" spans="2:43">
      <c r="B43" s="76"/>
      <c r="C43" s="533" t="s">
        <v>191</v>
      </c>
      <c r="D43" s="268"/>
      <c r="E43" s="76"/>
      <c r="F43" s="90"/>
      <c r="G43" s="76"/>
      <c r="H43" s="90"/>
      <c r="I43" s="76"/>
      <c r="L43" s="76"/>
      <c r="M43" s="315"/>
      <c r="N43" s="76"/>
      <c r="O43" s="90"/>
      <c r="P43" s="76"/>
      <c r="Q43" s="90"/>
      <c r="R43" s="89"/>
      <c r="S43" s="76"/>
      <c r="T43" s="12"/>
      <c r="U43" s="24"/>
      <c r="W43" s="76"/>
      <c r="X43" s="451">
        <f>'Bilanz Oxyfuel'!D65</f>
        <v>90</v>
      </c>
      <c r="Y43" s="76" t="s">
        <v>15</v>
      </c>
      <c r="Z43" s="473"/>
      <c r="AA43" s="76" t="s">
        <v>15</v>
      </c>
      <c r="AB43" s="474"/>
      <c r="AC43" s="89"/>
      <c r="AD43" s="76"/>
      <c r="AE43" s="12"/>
      <c r="AF43" s="476">
        <f t="shared" si="18"/>
        <v>90</v>
      </c>
      <c r="AH43" s="76"/>
      <c r="AI43" s="88">
        <f>'Bilanz E-LEILAC'!D44</f>
        <v>87.875</v>
      </c>
      <c r="AJ43" s="76" t="s">
        <v>15</v>
      </c>
      <c r="AK43" s="473"/>
      <c r="AL43" s="76" t="s">
        <v>15</v>
      </c>
      <c r="AM43" s="474"/>
      <c r="AN43" s="89"/>
      <c r="AO43" s="76"/>
      <c r="AP43" s="12"/>
      <c r="AQ43" s="476">
        <f t="shared" si="19"/>
        <v>87.875</v>
      </c>
    </row>
    <row r="44" spans="2:43" ht="15.6">
      <c r="B44" s="76"/>
      <c r="C44" s="533" t="s">
        <v>559</v>
      </c>
      <c r="D44" s="268"/>
      <c r="E44" s="76"/>
      <c r="F44" s="90"/>
      <c r="G44" s="76"/>
      <c r="H44" s="90"/>
      <c r="I44" s="76"/>
      <c r="L44" s="76"/>
      <c r="M44" s="450">
        <v>0</v>
      </c>
      <c r="N44" s="76" t="s">
        <v>93</v>
      </c>
      <c r="O44" s="473"/>
      <c r="P44" s="76" t="str">
        <f t="shared" si="16"/>
        <v>t/t Klinker</v>
      </c>
      <c r="Q44" s="283"/>
      <c r="R44" s="89"/>
      <c r="S44" s="76"/>
      <c r="T44" s="12"/>
      <c r="U44" s="481">
        <f>IF(O44="",M44,O44)</f>
        <v>0</v>
      </c>
      <c r="W44" s="76"/>
      <c r="X44" s="450">
        <f>AF43*(AF39+AF40)/100</f>
        <v>0.68867964000000015</v>
      </c>
      <c r="Y44" s="76" t="s">
        <v>93</v>
      </c>
      <c r="Z44" s="540"/>
      <c r="AA44" s="76" t="str">
        <f t="shared" si="17"/>
        <v>t/t Klinker</v>
      </c>
      <c r="AB44" s="541"/>
      <c r="AC44" s="89"/>
      <c r="AD44" s="76"/>
      <c r="AE44" s="12"/>
      <c r="AF44" s="476">
        <f t="shared" si="18"/>
        <v>0.68867964000000015</v>
      </c>
      <c r="AH44" s="76"/>
      <c r="AI44" s="450">
        <f>'Bilanz E-LEILAC'!D44*Rechner!AQ39/100</f>
        <v>0.47101000000000004</v>
      </c>
      <c r="AJ44" s="76" t="s">
        <v>93</v>
      </c>
      <c r="AK44" s="540"/>
      <c r="AL44" s="76" t="str">
        <f>AJ44</f>
        <v>t/t Klinker</v>
      </c>
      <c r="AM44" s="474"/>
      <c r="AN44" s="89"/>
      <c r="AO44" s="76"/>
      <c r="AP44" s="12"/>
      <c r="AQ44" s="476">
        <f t="shared" si="19"/>
        <v>0.47101000000000004</v>
      </c>
    </row>
    <row r="45" spans="2:43" ht="15.6">
      <c r="B45" s="76"/>
      <c r="C45" s="533" t="s">
        <v>558</v>
      </c>
      <c r="D45" s="268"/>
      <c r="E45" s="76"/>
      <c r="F45" s="90"/>
      <c r="G45" s="76"/>
      <c r="H45" s="90"/>
      <c r="I45" s="76"/>
      <c r="L45" s="76"/>
      <c r="M45" s="450">
        <f>(U11*'Bilanz Referenz'!F22+Rechner!U16*'Bilanz Referenz'!F40+Rechner!U17*'Bilanz Referenz'!F43)*3.6/1000</f>
        <v>0</v>
      </c>
      <c r="N45" s="76" t="s">
        <v>93</v>
      </c>
      <c r="O45" s="473"/>
      <c r="P45" s="76" t="str">
        <f t="shared" si="16"/>
        <v>t/t Klinker</v>
      </c>
      <c r="Q45" s="473"/>
      <c r="R45" s="89"/>
      <c r="S45" s="76"/>
      <c r="T45" s="12"/>
      <c r="U45" s="481">
        <f>IF(O45="",M45,O45)</f>
        <v>0</v>
      </c>
      <c r="W45" s="76"/>
      <c r="X45" s="450">
        <f>AF43*AF41/100</f>
        <v>5.5665224999999999E-2</v>
      </c>
      <c r="Y45" s="76" t="s">
        <v>93</v>
      </c>
      <c r="Z45" s="473"/>
      <c r="AA45" s="76" t="str">
        <f t="shared" si="17"/>
        <v>t/t Klinker</v>
      </c>
      <c r="AB45" s="474"/>
      <c r="AC45" s="89"/>
      <c r="AD45" s="76"/>
      <c r="AE45" s="12"/>
      <c r="AF45" s="476">
        <f t="shared" si="18"/>
        <v>5.5665224999999999E-2</v>
      </c>
      <c r="AH45" s="76"/>
      <c r="AI45" s="525">
        <v>0</v>
      </c>
      <c r="AJ45" s="76" t="s">
        <v>93</v>
      </c>
      <c r="AK45" s="473"/>
      <c r="AL45" s="76" t="str">
        <f>AJ45</f>
        <v>t/t Klinker</v>
      </c>
      <c r="AM45" s="539"/>
      <c r="AN45" s="89"/>
      <c r="AO45" s="76"/>
      <c r="AP45" s="12"/>
      <c r="AQ45" s="476">
        <f t="shared" si="19"/>
        <v>0</v>
      </c>
    </row>
    <row r="46" spans="2:43" ht="15.6">
      <c r="B46" s="76"/>
      <c r="C46" s="547" t="s">
        <v>549</v>
      </c>
      <c r="D46" s="268"/>
      <c r="E46" s="76"/>
      <c r="F46" s="90"/>
      <c r="G46" s="76"/>
      <c r="H46" s="90"/>
      <c r="I46" s="76"/>
      <c r="L46" s="76"/>
      <c r="M46" s="450"/>
      <c r="N46" s="76"/>
      <c r="O46" s="484"/>
      <c r="P46" s="76"/>
      <c r="Q46" s="484"/>
      <c r="R46" s="89"/>
      <c r="S46" s="76"/>
      <c r="T46" s="12"/>
      <c r="U46" s="481"/>
      <c r="W46" s="76"/>
      <c r="X46" s="450"/>
      <c r="Y46" s="76"/>
      <c r="Z46" s="484"/>
      <c r="AA46" s="76"/>
      <c r="AB46" s="485"/>
      <c r="AC46" s="89"/>
      <c r="AD46" s="76"/>
      <c r="AE46" s="12"/>
      <c r="AF46" s="476"/>
      <c r="AH46" s="76"/>
      <c r="AI46" s="88"/>
      <c r="AJ46" s="76"/>
      <c r="AK46" s="484"/>
      <c r="AL46" s="76"/>
      <c r="AM46" s="485"/>
      <c r="AN46" s="89"/>
      <c r="AO46" s="76"/>
      <c r="AP46" s="12"/>
      <c r="AQ46" s="476"/>
    </row>
    <row r="47" spans="2:43" ht="15.6">
      <c r="B47" s="76"/>
      <c r="C47" s="533" t="s">
        <v>560</v>
      </c>
      <c r="D47" s="448"/>
      <c r="E47" s="88"/>
      <c r="F47" s="475"/>
      <c r="G47" s="88"/>
      <c r="H47" s="475"/>
      <c r="I47" s="76"/>
      <c r="J47" s="471"/>
      <c r="L47" s="76"/>
      <c r="M47" s="450">
        <f>M39+M40</f>
        <v>0.76519960000000009</v>
      </c>
      <c r="N47" s="76" t="s">
        <v>93</v>
      </c>
      <c r="O47" s="473"/>
      <c r="P47" s="76" t="str">
        <f t="shared" si="16"/>
        <v>t/t Klinker</v>
      </c>
      <c r="Q47" s="473"/>
      <c r="R47" s="499">
        <f>U47*J34</f>
        <v>38.259980000000006</v>
      </c>
      <c r="S47" s="270" t="s">
        <v>94</v>
      </c>
      <c r="T47" s="12"/>
      <c r="U47" s="481">
        <f>IF(O47="",M47,O47)</f>
        <v>0.76519960000000009</v>
      </c>
      <c r="W47" s="76"/>
      <c r="X47" s="450">
        <f>SUM(X39:X40)-X44</f>
        <v>7.6519959999999942E-2</v>
      </c>
      <c r="Y47" s="76" t="s">
        <v>93</v>
      </c>
      <c r="Z47" s="473"/>
      <c r="AA47" s="76" t="str">
        <f t="shared" si="17"/>
        <v>t/t Klinker</v>
      </c>
      <c r="AB47" s="474"/>
      <c r="AC47" s="499">
        <f>AF47*$J34</f>
        <v>3.8259979999999971</v>
      </c>
      <c r="AD47" s="270" t="s">
        <v>94</v>
      </c>
      <c r="AE47" s="12"/>
      <c r="AF47" s="476">
        <f t="shared" si="18"/>
        <v>7.6519959999999942E-2</v>
      </c>
      <c r="AH47" s="76"/>
      <c r="AI47" s="450">
        <f>SUM(AI39:AI40)-AI44</f>
        <v>0.15471133333333331</v>
      </c>
      <c r="AJ47" s="76" t="s">
        <v>93</v>
      </c>
      <c r="AK47" s="473"/>
      <c r="AL47" s="76" t="str">
        <f t="shared" ref="AL47:AL51" si="20">AJ47</f>
        <v>t/t Klinker</v>
      </c>
      <c r="AM47" s="474"/>
      <c r="AN47" s="499">
        <f>AQ47*$J34</f>
        <v>7.7355666666666654</v>
      </c>
      <c r="AO47" s="270" t="s">
        <v>94</v>
      </c>
      <c r="AP47" s="12"/>
      <c r="AQ47" s="476">
        <f t="shared" si="19"/>
        <v>0.15471133333333331</v>
      </c>
    </row>
    <row r="48" spans="2:43" ht="15.6">
      <c r="B48" s="76"/>
      <c r="C48" s="533" t="s">
        <v>561</v>
      </c>
      <c r="D48" s="88"/>
      <c r="E48" s="88"/>
      <c r="F48" s="140"/>
      <c r="G48" s="88"/>
      <c r="H48" s="140"/>
      <c r="I48" s="76"/>
      <c r="J48" s="471"/>
      <c r="L48" s="76"/>
      <c r="M48" s="450">
        <f>M41</f>
        <v>6.1850249999999996E-2</v>
      </c>
      <c r="N48" s="76" t="s">
        <v>93</v>
      </c>
      <c r="O48" s="535"/>
      <c r="P48" s="76" t="str">
        <f t="shared" si="16"/>
        <v>t/t Klinker</v>
      </c>
      <c r="Q48" s="535"/>
      <c r="R48" s="499">
        <f>U48*$J$35</f>
        <v>0</v>
      </c>
      <c r="S48" s="270" t="s">
        <v>94</v>
      </c>
      <c r="T48" s="12"/>
      <c r="U48" s="481">
        <f>IF(O48="",M48,O48)</f>
        <v>6.1850249999999996E-2</v>
      </c>
      <c r="W48" s="76"/>
      <c r="X48" s="450">
        <f>X41-X45</f>
        <v>6.1850249999999968E-3</v>
      </c>
      <c r="Y48" s="76" t="s">
        <v>93</v>
      </c>
      <c r="Z48" s="473"/>
      <c r="AA48" s="76" t="str">
        <f t="shared" ref="AA48" si="21">Y48</f>
        <v>t/t Klinker</v>
      </c>
      <c r="AB48" s="474"/>
      <c r="AC48" s="499">
        <f>AF48*$J$35</f>
        <v>0</v>
      </c>
      <c r="AD48" s="270" t="s">
        <v>94</v>
      </c>
      <c r="AE48" s="12"/>
      <c r="AF48" s="476">
        <f t="shared" si="18"/>
        <v>6.1850249999999968E-3</v>
      </c>
      <c r="AH48" s="76"/>
      <c r="AI48" s="450">
        <f>AI41-AI45</f>
        <v>1.3595750000000002E-2</v>
      </c>
      <c r="AJ48" s="76" t="s">
        <v>93</v>
      </c>
      <c r="AK48" s="535"/>
      <c r="AL48" s="76" t="str">
        <f t="shared" si="20"/>
        <v>t/t Klinker</v>
      </c>
      <c r="AM48" s="539"/>
      <c r="AN48" s="499">
        <f>AQ48*$J35</f>
        <v>0</v>
      </c>
      <c r="AO48" s="270" t="s">
        <v>94</v>
      </c>
      <c r="AP48" s="12"/>
      <c r="AQ48" s="476">
        <f t="shared" si="19"/>
        <v>1.3595750000000002E-2</v>
      </c>
    </row>
    <row r="49" spans="2:43" ht="15.6">
      <c r="B49" s="76"/>
      <c r="C49" s="533" t="s">
        <v>562</v>
      </c>
      <c r="D49" s="88"/>
      <c r="E49" s="88"/>
      <c r="F49" s="140"/>
      <c r="G49" s="88"/>
      <c r="H49" s="140"/>
      <c r="I49" s="76"/>
      <c r="J49" s="471"/>
      <c r="L49" s="76"/>
      <c r="M49" s="450">
        <f>M47-M45</f>
        <v>0.76519960000000009</v>
      </c>
      <c r="N49" s="76" t="s">
        <v>93</v>
      </c>
      <c r="O49" s="484"/>
      <c r="P49" s="76"/>
      <c r="Q49" s="485"/>
      <c r="R49" s="499"/>
      <c r="S49" s="270"/>
      <c r="T49" s="12"/>
      <c r="U49" s="481">
        <f>IF(O49="",M49,O49)</f>
        <v>0.76519960000000009</v>
      </c>
      <c r="W49" s="76"/>
      <c r="X49" s="450">
        <f>X47-X45</f>
        <v>2.0854734999999944E-2</v>
      </c>
      <c r="Y49" s="76" t="s">
        <v>93</v>
      </c>
      <c r="Z49" s="484"/>
      <c r="AA49" s="76"/>
      <c r="AB49" s="485"/>
      <c r="AC49" s="499"/>
      <c r="AD49" s="270"/>
      <c r="AE49" s="12"/>
      <c r="AF49" s="476"/>
      <c r="AH49" s="76"/>
      <c r="AI49" s="450">
        <f>AI47-AI45</f>
        <v>0.15471133333333331</v>
      </c>
      <c r="AJ49" s="76" t="s">
        <v>93</v>
      </c>
      <c r="AK49" s="484"/>
      <c r="AL49" s="76"/>
      <c r="AM49" s="485"/>
      <c r="AN49" s="499"/>
      <c r="AO49" s="270"/>
      <c r="AP49" s="12"/>
      <c r="AQ49" s="476"/>
    </row>
    <row r="50" spans="2:43">
      <c r="B50" s="76"/>
      <c r="C50" s="277"/>
      <c r="D50" s="448"/>
      <c r="E50" s="88"/>
      <c r="F50" s="140"/>
      <c r="G50" s="88"/>
      <c r="H50" s="140"/>
      <c r="I50" s="12"/>
      <c r="J50" s="471"/>
      <c r="L50" s="76"/>
      <c r="M50" s="315"/>
      <c r="N50" s="76"/>
      <c r="O50" s="90"/>
      <c r="P50" s="76"/>
      <c r="Q50" s="90"/>
      <c r="R50" s="499"/>
      <c r="S50" s="76"/>
      <c r="T50" s="12"/>
      <c r="U50" s="24"/>
      <c r="W50" s="76"/>
      <c r="X50" s="76"/>
      <c r="Y50" s="76"/>
      <c r="Z50" s="90"/>
      <c r="AA50" s="76"/>
      <c r="AB50" s="76"/>
      <c r="AC50" s="499"/>
      <c r="AD50" s="76"/>
      <c r="AE50" s="12"/>
      <c r="AF50" s="489"/>
      <c r="AH50" s="76"/>
      <c r="AI50" s="76"/>
      <c r="AJ50" s="76"/>
      <c r="AK50" s="90"/>
      <c r="AL50" s="76"/>
      <c r="AM50" s="76"/>
      <c r="AN50" s="499"/>
      <c r="AO50" s="76"/>
      <c r="AP50" s="12"/>
      <c r="AQ50" s="489"/>
    </row>
    <row r="51" spans="2:43">
      <c r="B51" s="76"/>
      <c r="C51" s="276" t="s">
        <v>4</v>
      </c>
      <c r="D51" s="448"/>
      <c r="E51" s="88"/>
      <c r="F51" s="140"/>
      <c r="G51" s="88"/>
      <c r="H51" s="88"/>
      <c r="I51" s="12"/>
      <c r="J51" s="471">
        <f>J34</f>
        <v>50</v>
      </c>
      <c r="L51" s="76"/>
      <c r="M51" s="450">
        <f>Input_Preise!J43</f>
        <v>0.66733333333333333</v>
      </c>
      <c r="N51" s="76" t="s">
        <v>93</v>
      </c>
      <c r="O51" s="283"/>
      <c r="P51" s="76" t="str">
        <f>N51</f>
        <v>t/t Klinker</v>
      </c>
      <c r="Q51" s="283"/>
      <c r="R51" s="499">
        <f>(-1)*U51*$J34</f>
        <v>-33.366666666666667</v>
      </c>
      <c r="S51" s="270" t="s">
        <v>94</v>
      </c>
      <c r="T51" s="12"/>
      <c r="U51" s="481">
        <f>IF(O51="",M51,O51)</f>
        <v>0.66733333333333333</v>
      </c>
      <c r="W51" s="76"/>
      <c r="X51" s="450">
        <f>Input_Preise!J43</f>
        <v>0.66733333333333333</v>
      </c>
      <c r="Y51" s="76" t="s">
        <v>93</v>
      </c>
      <c r="Z51" s="473"/>
      <c r="AA51" s="76" t="str">
        <f>Y51</f>
        <v>t/t Klinker</v>
      </c>
      <c r="AB51" s="474"/>
      <c r="AC51" s="499">
        <f>(-1)*AF51*$J34</f>
        <v>-33.366666666666667</v>
      </c>
      <c r="AD51" s="270" t="s">
        <v>94</v>
      </c>
      <c r="AE51" s="12"/>
      <c r="AF51" s="476">
        <f>IF(Z51="",X51,Z51)</f>
        <v>0.66733333333333333</v>
      </c>
      <c r="AH51" s="76"/>
      <c r="AI51" s="77">
        <f>Input_Preise!J43</f>
        <v>0.66733333333333333</v>
      </c>
      <c r="AJ51" s="76" t="s">
        <v>93</v>
      </c>
      <c r="AK51" s="283"/>
      <c r="AL51" s="76" t="str">
        <f t="shared" si="20"/>
        <v>t/t Klinker</v>
      </c>
      <c r="AM51" s="15"/>
      <c r="AN51" s="499">
        <f>(-1)*AQ51*$J$34</f>
        <v>-33.366666666666667</v>
      </c>
      <c r="AO51" s="270" t="s">
        <v>94</v>
      </c>
      <c r="AP51" s="12"/>
      <c r="AQ51" s="476">
        <f>IF(AK51="",AI51,AK51)</f>
        <v>0.66733333333333333</v>
      </c>
    </row>
    <row r="52" spans="2:43">
      <c r="B52" s="76"/>
      <c r="C52" s="276"/>
      <c r="D52" s="448"/>
      <c r="E52" s="88"/>
      <c r="F52" s="140"/>
      <c r="G52" s="88"/>
      <c r="H52" s="88"/>
      <c r="I52" s="12"/>
      <c r="J52" s="471"/>
      <c r="L52" s="76"/>
      <c r="M52" s="450"/>
      <c r="N52" s="76"/>
      <c r="O52" s="484"/>
      <c r="P52" s="76"/>
      <c r="Q52" s="484"/>
      <c r="R52" s="89"/>
      <c r="S52" s="270"/>
      <c r="T52" s="285"/>
      <c r="U52" s="482"/>
      <c r="W52" s="76"/>
      <c r="X52" s="450"/>
      <c r="Y52" s="76"/>
      <c r="Z52" s="484"/>
      <c r="AA52" s="76"/>
      <c r="AB52" s="485"/>
      <c r="AC52" s="499"/>
      <c r="AD52" s="270"/>
      <c r="AE52" s="12"/>
      <c r="AF52" s="476"/>
      <c r="AH52" s="76"/>
      <c r="AI52" s="77"/>
      <c r="AJ52" s="76"/>
      <c r="AK52" s="484"/>
      <c r="AL52" s="76"/>
      <c r="AM52" s="485"/>
      <c r="AN52" s="89"/>
      <c r="AO52" s="270"/>
      <c r="AP52" s="12"/>
      <c r="AQ52" s="476"/>
    </row>
    <row r="53" spans="2:43" ht="15.6">
      <c r="B53" s="76"/>
      <c r="C53" s="276" t="s">
        <v>563</v>
      </c>
      <c r="D53" s="448"/>
      <c r="E53" s="88"/>
      <c r="F53" s="140"/>
      <c r="G53" s="88"/>
      <c r="H53" s="88"/>
      <c r="I53" s="12"/>
      <c r="J53" s="471"/>
      <c r="L53" s="76"/>
      <c r="M53" s="78"/>
      <c r="N53" s="76"/>
      <c r="O53" s="76"/>
      <c r="P53" s="76"/>
      <c r="Q53" s="90"/>
      <c r="R53" s="89"/>
      <c r="S53" s="270"/>
      <c r="T53" s="281"/>
      <c r="U53" s="483"/>
      <c r="W53" s="76"/>
      <c r="X53" s="451">
        <f>AF45</f>
        <v>5.5665224999999999E-2</v>
      </c>
      <c r="Y53" s="76" t="s">
        <v>93</v>
      </c>
      <c r="Z53" s="473"/>
      <c r="AA53" s="76" t="str">
        <f>Y53</f>
        <v>t/t Klinker</v>
      </c>
      <c r="AB53" s="474"/>
      <c r="AC53" s="499">
        <f>(-1)*AF53*J36</f>
        <v>0</v>
      </c>
      <c r="AD53" s="270" t="s">
        <v>94</v>
      </c>
      <c r="AE53" s="12"/>
      <c r="AF53" s="476">
        <f>IF(Z53="",X53,Z53)</f>
        <v>5.5665224999999999E-2</v>
      </c>
      <c r="AH53" s="76"/>
      <c r="AI53" s="77"/>
      <c r="AJ53" s="76"/>
      <c r="AK53" s="90"/>
      <c r="AL53" s="76"/>
      <c r="AM53" s="76"/>
      <c r="AN53" s="89"/>
      <c r="AO53" s="270"/>
      <c r="AP53" s="12"/>
      <c r="AQ53" s="476">
        <f>IF(AK53="",AI53,AK53)</f>
        <v>0</v>
      </c>
    </row>
    <row r="54" spans="2:43">
      <c r="B54" s="76"/>
      <c r="C54" s="76"/>
      <c r="D54" s="448"/>
      <c r="E54" s="88"/>
      <c r="F54" s="88"/>
      <c r="G54" s="88"/>
      <c r="H54" s="88"/>
      <c r="I54" s="88"/>
      <c r="J54" s="471"/>
      <c r="L54" s="76"/>
      <c r="M54" s="76"/>
      <c r="N54" s="76"/>
      <c r="O54" s="76"/>
      <c r="P54" s="76"/>
      <c r="Q54" s="76"/>
      <c r="R54" s="89"/>
      <c r="S54" s="76"/>
      <c r="T54" s="76"/>
      <c r="U54" s="24"/>
      <c r="W54" s="76"/>
      <c r="X54" s="76"/>
      <c r="Y54" s="76"/>
      <c r="Z54" s="76"/>
      <c r="AA54" s="76"/>
      <c r="AB54" s="76"/>
      <c r="AC54" s="76"/>
      <c r="AD54" s="76"/>
      <c r="AE54" s="76"/>
      <c r="AF54" s="24"/>
      <c r="AH54" s="76"/>
      <c r="AI54" s="78"/>
      <c r="AJ54" s="76"/>
      <c r="AK54" s="90"/>
      <c r="AL54" s="76"/>
      <c r="AM54" s="76"/>
      <c r="AN54" s="89"/>
      <c r="AO54" s="270"/>
      <c r="AP54" s="76"/>
      <c r="AQ54" s="24"/>
    </row>
    <row r="55" spans="2:43" s="24" customFormat="1">
      <c r="B55" s="76"/>
      <c r="C55" s="76"/>
      <c r="D55" s="88"/>
      <c r="E55" s="88"/>
      <c r="F55" s="88"/>
      <c r="G55" s="88"/>
      <c r="H55" s="88"/>
      <c r="I55" s="88"/>
      <c r="L55" s="76"/>
      <c r="M55" s="76"/>
      <c r="N55" s="76"/>
      <c r="O55" s="76"/>
      <c r="P55" s="76"/>
      <c r="Q55" s="76"/>
      <c r="R55" s="76"/>
      <c r="S55" s="76"/>
      <c r="T55" s="76"/>
      <c r="W55" s="76"/>
      <c r="X55" s="76"/>
      <c r="Y55" s="76"/>
      <c r="Z55" s="76"/>
      <c r="AA55" s="76"/>
      <c r="AB55" s="76"/>
      <c r="AC55" s="76"/>
      <c r="AD55" s="76"/>
      <c r="AE55" s="76"/>
      <c r="AH55" s="76"/>
      <c r="AI55" s="76"/>
      <c r="AJ55" s="89"/>
      <c r="AK55" s="284"/>
      <c r="AL55" s="89"/>
      <c r="AM55" s="76"/>
      <c r="AN55" s="76"/>
      <c r="AO55" s="76"/>
      <c r="AP55" s="76"/>
    </row>
    <row r="57" spans="2:43">
      <c r="R57" s="266"/>
    </row>
    <row r="58" spans="2:43">
      <c r="R58" s="266"/>
    </row>
  </sheetData>
  <sheetProtection algorithmName="SHA-512" hashValue="LUGloO6n0T89Do9FtaVg4i7HhG0qRb9+uZ5rAYTt19+CYZUVuz08A/z+wY+kjg4XFgREK9Djgv7n367eWIWaAw==" saltValue="t6ZcziHaDFOJy+bdY3I2Pw==" spinCount="100000" sheet="1" objects="1" scenarios="1"/>
  <mergeCells count="11">
    <mergeCell ref="AN6:AO6"/>
    <mergeCell ref="E3:H3"/>
    <mergeCell ref="D6:H6"/>
    <mergeCell ref="AI3:AO4"/>
    <mergeCell ref="X3:AD4"/>
    <mergeCell ref="M3:S3"/>
    <mergeCell ref="M6:P6"/>
    <mergeCell ref="R6:S6"/>
    <mergeCell ref="X6:AA6"/>
    <mergeCell ref="AC6:AD6"/>
    <mergeCell ref="AI6:AL6"/>
  </mergeCells>
  <dataValidations count="3">
    <dataValidation type="list" allowBlank="1" showInputMessage="1" showErrorMessage="1" sqref="F22" xr:uid="{00000000-0002-0000-0200-000000000000}">
      <formula1>"Pipeline,Schiff"</formula1>
    </dataValidation>
    <dataValidation type="list" allowBlank="1" showInputMessage="1" showErrorMessage="1" sqref="Z8" xr:uid="{00000000-0002-0000-0200-000001000000}">
      <formula1>"ja,nein"</formula1>
    </dataValidation>
    <dataValidation allowBlank="1" showInputMessage="1" showErrorMessage="1" prompt="CO2-Senkenzertifikate werden nur berücksichtigt, falls unter 'Ergebnisse' spezifiziert." sqref="C36 F36" xr:uid="{CFB8FE24-BE54-4FE0-A906-B5AACCF30D8C}"/>
  </dataValidations>
  <pageMargins left="0.7" right="0.7" top="0.75" bottom="0.75" header="0.3" footer="0.3"/>
  <pageSetup orientation="portrait" verticalDpi="601" r:id="rId1"/>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AF94"/>
  <sheetViews>
    <sheetView topLeftCell="A7" zoomScale="70" zoomScaleNormal="70" zoomScalePageLayoutView="85" workbookViewId="0">
      <selection activeCell="AG17" sqref="AG17"/>
    </sheetView>
  </sheetViews>
  <sheetFormatPr baseColWidth="10" defaultColWidth="9.3984375" defaultRowHeight="13.2"/>
  <cols>
    <col min="1" max="1" width="2.09765625" style="16" customWidth="1"/>
    <col min="2" max="2" width="3.09765625" style="16" customWidth="1"/>
    <col min="3" max="3" width="9.3984375" style="16"/>
    <col min="4" max="4" width="10.8984375" style="16" customWidth="1"/>
    <col min="5" max="5" width="10.59765625" style="16" customWidth="1"/>
    <col min="6" max="6" width="10.8984375" style="16" customWidth="1"/>
    <col min="7" max="10" width="9.3984375" style="16"/>
    <col min="11" max="11" width="3.59765625" style="16" customWidth="1"/>
    <col min="12" max="13" width="3.8984375" style="16" customWidth="1"/>
    <col min="14" max="14" width="27.09765625" style="16" customWidth="1"/>
    <col min="15" max="15" width="9.3984375" style="16"/>
    <col min="16" max="17" width="10.59765625" style="16" customWidth="1"/>
    <col min="18" max="18" width="9.8984375" style="16" customWidth="1"/>
    <col min="19" max="19" width="5" style="16" customWidth="1"/>
    <col min="20" max="20" width="23.69921875" style="16" customWidth="1"/>
    <col min="21" max="21" width="13.3984375" style="16" bestFit="1" customWidth="1"/>
    <col min="22" max="22" width="4.3984375" style="16" customWidth="1"/>
    <col min="23" max="23" width="4.09765625" style="16" customWidth="1"/>
    <col min="24" max="24" width="2.8984375" style="16" customWidth="1"/>
    <col min="25" max="25" width="24.3984375" style="16" bestFit="1" customWidth="1"/>
    <col min="26" max="26" width="7.5" style="16" bestFit="1" customWidth="1"/>
    <col min="27" max="27" width="8.69921875" style="16" bestFit="1" customWidth="1"/>
    <col min="28" max="28" width="11.09765625" style="16" customWidth="1"/>
    <col min="29" max="29" width="10.59765625" style="16" customWidth="1"/>
    <col min="30" max="31" width="9.3984375" style="16"/>
    <col min="32" max="32" width="2.8984375" style="16" customWidth="1"/>
    <col min="33" max="16384" width="9.3984375" style="16"/>
  </cols>
  <sheetData>
    <row r="2" spans="2:32">
      <c r="B2" s="12"/>
      <c r="C2" s="39"/>
      <c r="D2" s="39"/>
      <c r="E2" s="39"/>
      <c r="F2" s="39"/>
      <c r="G2" s="39"/>
      <c r="H2" s="39"/>
      <c r="I2" s="39"/>
      <c r="J2" s="39"/>
      <c r="K2" s="39"/>
      <c r="L2" s="39"/>
      <c r="M2" s="39"/>
      <c r="N2" s="39"/>
      <c r="O2" s="39"/>
      <c r="P2" s="39"/>
      <c r="Q2" s="39"/>
      <c r="R2" s="39"/>
      <c r="S2" s="39"/>
      <c r="T2" s="39"/>
      <c r="U2" s="39"/>
      <c r="V2" s="39"/>
      <c r="W2" s="39"/>
      <c r="X2" s="39"/>
      <c r="Y2" s="39"/>
      <c r="Z2" s="39"/>
      <c r="AA2" s="39"/>
      <c r="AB2" s="39"/>
      <c r="AC2" s="39"/>
      <c r="AD2" s="39"/>
      <c r="AE2" s="39"/>
      <c r="AF2" s="39"/>
    </row>
    <row r="3" spans="2:32" ht="17.399999999999999">
      <c r="B3" s="12"/>
      <c r="C3" s="290" t="s">
        <v>239</v>
      </c>
      <c r="D3" s="12"/>
      <c r="E3" s="39"/>
      <c r="F3" s="39"/>
      <c r="G3" s="39"/>
      <c r="H3" s="39"/>
      <c r="I3" s="39"/>
      <c r="J3" s="39"/>
      <c r="K3" s="39"/>
      <c r="L3" s="39"/>
      <c r="M3" s="39"/>
      <c r="N3" s="39"/>
      <c r="O3" s="39"/>
      <c r="P3" s="39"/>
      <c r="Q3" s="39"/>
      <c r="R3" s="39"/>
      <c r="S3" s="39"/>
      <c r="T3" s="39"/>
      <c r="U3" s="39"/>
      <c r="V3" s="39"/>
      <c r="W3" s="39"/>
      <c r="X3" s="39"/>
      <c r="Y3" s="39"/>
      <c r="Z3" s="39"/>
      <c r="AA3" s="39"/>
      <c r="AB3" s="39"/>
      <c r="AC3" s="39"/>
      <c r="AD3" s="39"/>
      <c r="AE3" s="39"/>
      <c r="AF3" s="39"/>
    </row>
    <row r="4" spans="2:32">
      <c r="B4" s="12"/>
      <c r="C4" s="39"/>
      <c r="D4" s="12"/>
      <c r="E4" s="39"/>
      <c r="F4" s="39"/>
      <c r="G4" s="39"/>
      <c r="H4" s="39"/>
      <c r="I4" s="39"/>
      <c r="J4" s="39"/>
      <c r="K4" s="39"/>
      <c r="L4" s="39"/>
      <c r="M4" s="39"/>
      <c r="N4" s="39"/>
      <c r="O4" s="39"/>
      <c r="P4" s="39"/>
      <c r="Q4" s="39"/>
      <c r="R4" s="39"/>
      <c r="S4" s="39"/>
      <c r="T4" s="39"/>
      <c r="U4" s="39"/>
      <c r="V4" s="39"/>
      <c r="W4" s="39"/>
      <c r="X4" s="39"/>
      <c r="Y4" s="39"/>
      <c r="Z4" s="39"/>
      <c r="AA4" s="39"/>
      <c r="AB4" s="39"/>
      <c r="AC4" s="39"/>
      <c r="AD4" s="39"/>
      <c r="AE4" s="39"/>
      <c r="AF4" s="39"/>
    </row>
    <row r="5" spans="2:32">
      <c r="B5" s="12"/>
      <c r="C5" s="291" t="s">
        <v>240</v>
      </c>
      <c r="D5" s="12"/>
      <c r="E5" s="39"/>
      <c r="F5" s="39"/>
      <c r="G5" s="39"/>
      <c r="H5" s="39"/>
      <c r="I5" s="39"/>
      <c r="J5" s="39"/>
      <c r="K5" s="39"/>
      <c r="L5" s="39"/>
      <c r="M5" s="39"/>
      <c r="N5" s="39"/>
      <c r="O5" s="39"/>
      <c r="P5" s="39"/>
      <c r="Q5" s="39"/>
      <c r="R5" s="39"/>
      <c r="S5" s="39"/>
      <c r="T5" s="39"/>
      <c r="U5" s="39"/>
      <c r="V5" s="39"/>
      <c r="W5" s="39"/>
      <c r="X5" s="39"/>
      <c r="Y5" s="39"/>
      <c r="Z5" s="39"/>
      <c r="AA5" s="39"/>
      <c r="AB5" s="39"/>
      <c r="AC5" s="39"/>
      <c r="AD5" s="39"/>
      <c r="AE5" s="39"/>
      <c r="AF5" s="39"/>
    </row>
    <row r="6" spans="2:32">
      <c r="B6" s="12"/>
      <c r="C6" s="39"/>
      <c r="D6" s="39"/>
      <c r="E6" s="39"/>
      <c r="F6" s="39"/>
      <c r="G6" s="39"/>
      <c r="H6" s="39"/>
      <c r="I6" s="39"/>
      <c r="J6" s="39"/>
      <c r="K6" s="39"/>
      <c r="L6" s="39"/>
      <c r="M6" s="39"/>
      <c r="N6" s="39"/>
      <c r="O6" s="39"/>
      <c r="P6" s="39"/>
      <c r="Q6" s="39"/>
      <c r="R6" s="39"/>
      <c r="S6" s="39"/>
      <c r="T6" s="39"/>
      <c r="U6" s="39"/>
      <c r="V6" s="39"/>
      <c r="W6" s="39"/>
      <c r="X6" s="39"/>
      <c r="Y6" s="39"/>
      <c r="Z6" s="39"/>
      <c r="AA6" s="39"/>
      <c r="AB6" s="39"/>
      <c r="AC6" s="39"/>
      <c r="AD6" s="39"/>
      <c r="AE6" s="39"/>
      <c r="AF6" s="39"/>
    </row>
    <row r="9" spans="2:32">
      <c r="B9" s="12"/>
      <c r="C9" s="12"/>
      <c r="D9" s="12"/>
      <c r="E9" s="12"/>
      <c r="F9" s="12"/>
      <c r="G9" s="12"/>
      <c r="H9" s="12"/>
      <c r="I9" s="12"/>
      <c r="J9" s="12"/>
      <c r="K9" s="12"/>
      <c r="M9" s="12"/>
      <c r="N9" s="12"/>
      <c r="O9" s="12"/>
      <c r="P9" s="12"/>
      <c r="Q9" s="12"/>
      <c r="R9" s="12"/>
      <c r="S9" s="12"/>
      <c r="T9" s="12"/>
      <c r="U9" s="12"/>
      <c r="V9" s="12"/>
      <c r="X9" s="12"/>
      <c r="Y9" s="12"/>
      <c r="Z9" s="12"/>
      <c r="AA9" s="12"/>
      <c r="AB9" s="12"/>
      <c r="AC9" s="12"/>
      <c r="AD9" s="12"/>
      <c r="AE9" s="12"/>
      <c r="AF9" s="12"/>
    </row>
    <row r="10" spans="2:32" s="24" customFormat="1" ht="21">
      <c r="B10" s="76"/>
      <c r="C10" s="661" t="s">
        <v>413</v>
      </c>
      <c r="D10" s="661"/>
      <c r="E10" s="661"/>
      <c r="F10" s="661"/>
      <c r="G10" s="661"/>
      <c r="H10" s="661"/>
      <c r="I10" s="661"/>
      <c r="J10" s="661"/>
      <c r="K10" s="76"/>
      <c r="M10" s="76"/>
      <c r="N10" s="661" t="s">
        <v>415</v>
      </c>
      <c r="O10" s="661"/>
      <c r="P10" s="661"/>
      <c r="Q10" s="661"/>
      <c r="R10" s="661"/>
      <c r="S10" s="661"/>
      <c r="T10" s="661"/>
      <c r="U10" s="661"/>
      <c r="V10" s="76"/>
      <c r="X10" s="76"/>
      <c r="Y10" s="661" t="s">
        <v>416</v>
      </c>
      <c r="Z10" s="661"/>
      <c r="AA10" s="661"/>
      <c r="AB10" s="661"/>
      <c r="AC10" s="661"/>
      <c r="AD10" s="661"/>
      <c r="AE10" s="661"/>
      <c r="AF10" s="76"/>
    </row>
    <row r="11" spans="2:32" s="24" customFormat="1" ht="17.399999999999999">
      <c r="B11" s="76"/>
      <c r="C11" s="300"/>
      <c r="D11" s="300"/>
      <c r="E11" s="300"/>
      <c r="F11" s="300"/>
      <c r="G11" s="300"/>
      <c r="H11" s="300"/>
      <c r="I11" s="300"/>
      <c r="J11" s="300"/>
      <c r="K11" s="76"/>
      <c r="M11" s="76"/>
      <c r="N11" s="300"/>
      <c r="O11" s="300"/>
      <c r="P11" s="300"/>
      <c r="Q11" s="300"/>
      <c r="R11" s="300"/>
      <c r="S11" s="300"/>
      <c r="T11" s="300"/>
      <c r="U11" s="300"/>
      <c r="V11" s="76"/>
      <c r="X11" s="76"/>
      <c r="Y11" s="300"/>
      <c r="Z11" s="300"/>
      <c r="AA11" s="300"/>
      <c r="AB11" s="300"/>
      <c r="AC11" s="300"/>
      <c r="AD11" s="300"/>
      <c r="AE11" s="300"/>
      <c r="AF11" s="76"/>
    </row>
    <row r="12" spans="2:32" ht="90.75" customHeight="1">
      <c r="B12" s="76"/>
      <c r="C12" s="663" t="s">
        <v>417</v>
      </c>
      <c r="D12" s="664"/>
      <c r="E12" s="664"/>
      <c r="F12" s="664"/>
      <c r="G12" s="664"/>
      <c r="H12" s="664"/>
      <c r="I12" s="664"/>
      <c r="J12" s="664"/>
      <c r="K12" s="76"/>
      <c r="L12" s="24"/>
      <c r="M12" s="76"/>
      <c r="N12" s="656" t="s">
        <v>641</v>
      </c>
      <c r="O12" s="656"/>
      <c r="P12" s="656"/>
      <c r="Q12" s="656"/>
      <c r="R12" s="656"/>
      <c r="S12" s="656"/>
      <c r="T12" s="656"/>
      <c r="U12" s="656"/>
      <c r="V12" s="76"/>
      <c r="W12" s="24"/>
      <c r="X12" s="76"/>
      <c r="Y12" s="656" t="s">
        <v>412</v>
      </c>
      <c r="Z12" s="656"/>
      <c r="AA12" s="656"/>
      <c r="AB12" s="656"/>
      <c r="AC12" s="656"/>
      <c r="AD12" s="656"/>
      <c r="AE12" s="656"/>
      <c r="AF12" s="76"/>
    </row>
    <row r="13" spans="2:32">
      <c r="B13" s="76"/>
      <c r="C13" s="86"/>
      <c r="D13" s="76"/>
      <c r="E13" s="76"/>
      <c r="F13" s="76"/>
      <c r="G13" s="76"/>
      <c r="H13" s="76"/>
      <c r="I13" s="76"/>
      <c r="J13" s="76"/>
      <c r="K13" s="76"/>
      <c r="L13" s="24"/>
      <c r="M13" s="76"/>
      <c r="N13" s="76"/>
      <c r="O13" s="12"/>
      <c r="P13" s="12"/>
      <c r="Q13" s="12"/>
      <c r="R13" s="12"/>
      <c r="S13" s="12"/>
      <c r="T13" s="12"/>
      <c r="U13" s="76"/>
      <c r="V13" s="76"/>
      <c r="W13" s="24"/>
      <c r="X13" s="76"/>
      <c r="Y13" s="76"/>
      <c r="Z13" s="76"/>
      <c r="AA13" s="76"/>
      <c r="AB13" s="76"/>
      <c r="AC13" s="86"/>
      <c r="AD13" s="76"/>
      <c r="AE13" s="76"/>
      <c r="AF13" s="76"/>
    </row>
    <row r="14" spans="2:32" ht="15.6">
      <c r="B14" s="76"/>
      <c r="C14" s="76"/>
      <c r="D14" s="86" t="s">
        <v>92</v>
      </c>
      <c r="E14" s="86" t="s">
        <v>102</v>
      </c>
      <c r="F14" s="86" t="s">
        <v>103</v>
      </c>
      <c r="G14" s="86"/>
      <c r="H14" s="86"/>
      <c r="I14" s="76"/>
      <c r="J14" s="76"/>
      <c r="K14" s="76"/>
      <c r="L14" s="24"/>
      <c r="M14" s="76"/>
      <c r="N14" s="76"/>
      <c r="O14" s="86"/>
      <c r="P14" s="86" t="s">
        <v>102</v>
      </c>
      <c r="Q14" s="86" t="s">
        <v>103</v>
      </c>
      <c r="R14" s="86"/>
      <c r="S14" s="86"/>
      <c r="T14" s="76"/>
      <c r="U14" s="76"/>
      <c r="V14" s="76"/>
      <c r="W14" s="24"/>
      <c r="X14" s="76"/>
      <c r="Y14" s="86" t="s">
        <v>571</v>
      </c>
      <c r="Z14" s="86" t="s">
        <v>102</v>
      </c>
      <c r="AA14" s="86" t="s">
        <v>103</v>
      </c>
      <c r="AB14" s="86"/>
      <c r="AC14" s="86"/>
      <c r="AD14" s="76"/>
      <c r="AE14" s="76"/>
      <c r="AF14" s="76"/>
    </row>
    <row r="15" spans="2:32" ht="15.6">
      <c r="B15" s="76"/>
      <c r="C15" s="86" t="s">
        <v>105</v>
      </c>
      <c r="D15" s="138">
        <f>Diagrammtabelle!D13</f>
        <v>106.84761489877553</v>
      </c>
      <c r="E15" s="138">
        <f>Diagrammtabelle!E13</f>
        <v>121.17415450444835</v>
      </c>
      <c r="F15" s="138">
        <f>Diagrammtabelle!F13</f>
        <v>138.61730824089221</v>
      </c>
      <c r="G15" s="86" t="s">
        <v>115</v>
      </c>
      <c r="H15" s="138"/>
      <c r="I15" s="292"/>
      <c r="J15" s="292"/>
      <c r="K15" s="76"/>
      <c r="L15" s="24"/>
      <c r="M15" s="76"/>
      <c r="N15" s="76"/>
      <c r="O15" s="294" t="s">
        <v>193</v>
      </c>
      <c r="P15" s="136">
        <f>Diagrammtabelle!E27</f>
        <v>0.68867964000000015</v>
      </c>
      <c r="Q15" s="136">
        <f>Diagrammtabelle!F27</f>
        <v>0.61048826666666678</v>
      </c>
      <c r="R15" s="86" t="s">
        <v>570</v>
      </c>
      <c r="S15" s="279"/>
      <c r="T15" s="12"/>
      <c r="U15" s="76"/>
      <c r="V15" s="76"/>
      <c r="W15" s="24"/>
      <c r="X15" s="76"/>
      <c r="Y15" s="86" t="s">
        <v>391</v>
      </c>
      <c r="Z15" s="138">
        <f>Diagrammtabelle!E33</f>
        <v>58.808942871714393</v>
      </c>
      <c r="AA15" s="138">
        <f>Diagrammtabelle!F33</f>
        <v>97.567979480877838</v>
      </c>
      <c r="AB15" s="86" t="s">
        <v>7</v>
      </c>
      <c r="AC15" s="86"/>
      <c r="AD15" s="76"/>
      <c r="AE15" s="76"/>
      <c r="AF15" s="76"/>
    </row>
    <row r="16" spans="2:32" ht="15.6">
      <c r="B16" s="76"/>
      <c r="C16" s="76"/>
      <c r="D16" s="292"/>
      <c r="E16" s="292"/>
      <c r="F16" s="292"/>
      <c r="G16" s="292"/>
      <c r="H16" s="292"/>
      <c r="I16" s="91" t="s">
        <v>117</v>
      </c>
      <c r="J16" s="293" t="s">
        <v>635</v>
      </c>
      <c r="K16" s="76"/>
      <c r="L16" s="24"/>
      <c r="M16" s="76"/>
      <c r="N16" s="76"/>
      <c r="O16" s="294" t="s">
        <v>149</v>
      </c>
      <c r="P16" s="136">
        <f>Diagrammtabelle!E28</f>
        <v>5.5665224999999999E-2</v>
      </c>
      <c r="Q16" s="136">
        <f>Diagrammtabelle!F28</f>
        <v>0</v>
      </c>
      <c r="R16" s="86" t="s">
        <v>570</v>
      </c>
      <c r="S16" s="137"/>
      <c r="T16" s="12"/>
      <c r="U16" s="12"/>
      <c r="V16" s="76"/>
      <c r="W16" s="24"/>
      <c r="X16" s="76"/>
      <c r="Y16" s="86" t="s">
        <v>392</v>
      </c>
      <c r="Z16" s="138">
        <f>SUM(Diagrammtabelle!E32:E33)</f>
        <v>70.802908600104431</v>
      </c>
      <c r="AA16" s="138">
        <f>SUM(Diagrammtabelle!F32:F33)</f>
        <v>102.03980989771139</v>
      </c>
      <c r="AB16" s="86" t="s">
        <v>7</v>
      </c>
      <c r="AC16" s="86"/>
      <c r="AD16" s="76"/>
      <c r="AE16" s="76"/>
      <c r="AF16" s="76"/>
    </row>
    <row r="17" spans="2:32" ht="15.6">
      <c r="B17" s="76"/>
      <c r="C17" s="76" t="s">
        <v>106</v>
      </c>
      <c r="D17" s="76"/>
      <c r="E17" s="657" t="s">
        <v>107</v>
      </c>
      <c r="F17" s="658"/>
      <c r="G17" s="76"/>
      <c r="H17" s="76"/>
      <c r="I17" s="91" t="s">
        <v>575</v>
      </c>
      <c r="J17" s="293" t="s">
        <v>491</v>
      </c>
      <c r="K17" s="76"/>
      <c r="L17" s="24"/>
      <c r="M17" s="76"/>
      <c r="N17" s="76"/>
      <c r="O17" s="294" t="s">
        <v>393</v>
      </c>
      <c r="P17" s="136">
        <f>Diagrammtabelle!E29</f>
        <v>0.68867964000000015</v>
      </c>
      <c r="Q17" s="136">
        <f>Diagrammtabelle!F29</f>
        <v>0.61048826666666678</v>
      </c>
      <c r="R17" s="86" t="s">
        <v>570</v>
      </c>
      <c r="S17" s="79"/>
      <c r="T17" s="76"/>
      <c r="U17" s="76"/>
      <c r="V17" s="76"/>
      <c r="W17" s="24"/>
      <c r="X17" s="76"/>
      <c r="Y17" s="86"/>
      <c r="Z17" s="86"/>
      <c r="AA17" s="86"/>
      <c r="AB17" s="76"/>
      <c r="AC17" s="86"/>
      <c r="AD17" s="76"/>
      <c r="AE17" s="76"/>
      <c r="AF17" s="76"/>
    </row>
    <row r="18" spans="2:32">
      <c r="B18" s="76"/>
      <c r="C18" s="76" t="s">
        <v>372</v>
      </c>
      <c r="D18" s="76"/>
      <c r="E18" s="648">
        <f>Rechner!J34</f>
        <v>50</v>
      </c>
      <c r="F18" s="270" t="s">
        <v>7</v>
      </c>
      <c r="G18" s="76"/>
      <c r="H18" s="76"/>
      <c r="I18" s="544" t="s">
        <v>406</v>
      </c>
      <c r="J18" s="647" t="s">
        <v>491</v>
      </c>
      <c r="K18" s="76"/>
      <c r="L18" s="24"/>
      <c r="M18" s="76"/>
      <c r="N18" s="76"/>
      <c r="O18" s="295" t="s">
        <v>390</v>
      </c>
      <c r="P18" s="137">
        <f>SUM(Diagrammtabelle!E32:E33)</f>
        <v>70.802908600104431</v>
      </c>
      <c r="Q18" s="137">
        <f>SUM(Diagrammtabelle!F32:F33)</f>
        <v>102.03980989771139</v>
      </c>
      <c r="R18" s="86" t="s">
        <v>150</v>
      </c>
      <c r="S18" s="12"/>
      <c r="T18" s="12"/>
      <c r="U18" s="12"/>
      <c r="V18" s="76"/>
      <c r="W18" s="24"/>
      <c r="X18" s="76"/>
      <c r="Y18" s="159" t="s">
        <v>106</v>
      </c>
      <c r="Z18" s="659" t="s">
        <v>102</v>
      </c>
      <c r="AA18" s="660"/>
      <c r="AB18" s="86"/>
      <c r="AC18" s="86"/>
      <c r="AD18" s="76"/>
      <c r="AE18" s="76"/>
      <c r="AF18" s="76"/>
    </row>
    <row r="19" spans="2:32" ht="31.2">
      <c r="B19" s="76"/>
      <c r="C19" s="76"/>
      <c r="D19" s="76"/>
      <c r="E19" s="76"/>
      <c r="F19" s="76"/>
      <c r="G19" s="76"/>
      <c r="H19" s="76"/>
      <c r="I19" s="76"/>
      <c r="J19" s="76"/>
      <c r="K19" s="76"/>
      <c r="L19" s="24"/>
      <c r="M19" s="76"/>
      <c r="N19" s="76"/>
      <c r="O19" s="76"/>
      <c r="P19" s="76"/>
      <c r="Q19" s="76"/>
      <c r="R19" s="76"/>
      <c r="S19" s="565"/>
      <c r="T19" s="640" t="s">
        <v>569</v>
      </c>
      <c r="U19" s="550" t="s">
        <v>521</v>
      </c>
      <c r="V19" s="76"/>
      <c r="W19" s="24"/>
      <c r="X19" s="76"/>
      <c r="Y19" s="12"/>
      <c r="Z19" s="12"/>
      <c r="AA19" s="12"/>
      <c r="AB19" s="86"/>
      <c r="AC19" s="86"/>
      <c r="AD19" s="76"/>
      <c r="AE19" s="76"/>
      <c r="AF19" s="76"/>
    </row>
    <row r="20" spans="2:32">
      <c r="B20" s="76"/>
      <c r="C20" s="76"/>
      <c r="D20" s="76"/>
      <c r="E20" s="76"/>
      <c r="F20" s="76"/>
      <c r="G20" s="76"/>
      <c r="H20" s="76"/>
      <c r="I20" s="76"/>
      <c r="J20" s="76"/>
      <c r="K20" s="76"/>
      <c r="L20" s="24"/>
      <c r="M20" s="76"/>
      <c r="N20" s="76"/>
      <c r="O20" s="76"/>
      <c r="P20" s="76"/>
      <c r="Q20" s="76"/>
      <c r="R20" s="76"/>
      <c r="S20" s="76"/>
      <c r="T20" s="76"/>
      <c r="U20" s="76"/>
      <c r="V20" s="76"/>
      <c r="W20" s="24"/>
      <c r="X20" s="76"/>
      <c r="Y20" s="86"/>
      <c r="Z20" s="138"/>
      <c r="AA20" s="138"/>
      <c r="AB20" s="86"/>
      <c r="AC20" s="86"/>
      <c r="AD20" s="76"/>
      <c r="AE20" s="76"/>
      <c r="AF20" s="76"/>
    </row>
    <row r="21" spans="2:32">
      <c r="B21" s="76"/>
      <c r="C21" s="76"/>
      <c r="D21" s="76"/>
      <c r="E21" s="76"/>
      <c r="F21" s="76"/>
      <c r="G21" s="76"/>
      <c r="H21" s="76"/>
      <c r="I21" s="76"/>
      <c r="J21" s="76"/>
      <c r="K21" s="76"/>
      <c r="L21" s="24"/>
      <c r="M21" s="76"/>
      <c r="N21" s="76"/>
      <c r="O21" s="76"/>
      <c r="P21" s="76"/>
      <c r="Q21" s="76"/>
      <c r="R21" s="76"/>
      <c r="S21" s="76"/>
      <c r="T21" s="76"/>
      <c r="U21" s="76"/>
      <c r="V21" s="76"/>
      <c r="W21" s="24"/>
      <c r="X21" s="76"/>
      <c r="Y21" s="12"/>
      <c r="Z21" s="12"/>
      <c r="AA21" s="12"/>
      <c r="AB21" s="76"/>
      <c r="AC21" s="76" t="s">
        <v>150</v>
      </c>
      <c r="AD21" s="76"/>
      <c r="AE21" s="76"/>
      <c r="AF21" s="76"/>
    </row>
    <row r="22" spans="2:32" ht="14.1" customHeight="1">
      <c r="B22" s="76"/>
      <c r="C22" s="76"/>
      <c r="D22" s="76"/>
      <c r="E22" s="76"/>
      <c r="F22" s="76"/>
      <c r="G22" s="76"/>
      <c r="H22" s="76"/>
      <c r="I22" s="76"/>
      <c r="J22" s="76"/>
      <c r="K22" s="76"/>
      <c r="L22" s="24"/>
      <c r="M22" s="76"/>
      <c r="N22" s="76"/>
      <c r="O22" s="76"/>
      <c r="P22" s="76"/>
      <c r="Q22" s="76"/>
      <c r="R22" s="76"/>
      <c r="S22" s="76"/>
      <c r="T22" s="76"/>
      <c r="U22" s="76"/>
      <c r="V22" s="76"/>
      <c r="W22" s="24"/>
      <c r="X22" s="76"/>
      <c r="Y22" s="76"/>
      <c r="Z22" s="76"/>
      <c r="AA22" s="76"/>
      <c r="AB22" s="76"/>
      <c r="AC22" s="76"/>
      <c r="AD22" s="76"/>
      <c r="AE22" s="76"/>
      <c r="AF22" s="76"/>
    </row>
    <row r="23" spans="2:32">
      <c r="B23" s="76"/>
      <c r="C23" s="76"/>
      <c r="D23" s="76"/>
      <c r="E23" s="76"/>
      <c r="F23" s="76"/>
      <c r="G23" s="76"/>
      <c r="H23" s="76"/>
      <c r="I23" s="76"/>
      <c r="J23" s="76"/>
      <c r="K23" s="76"/>
      <c r="L23" s="24"/>
      <c r="M23" s="76"/>
      <c r="N23" s="76"/>
      <c r="O23" s="76"/>
      <c r="P23" s="76"/>
      <c r="Q23" s="76"/>
      <c r="R23" s="76"/>
      <c r="S23" s="76"/>
      <c r="T23" s="76"/>
      <c r="U23" s="76"/>
      <c r="V23" s="76"/>
      <c r="W23" s="24"/>
      <c r="X23" s="76"/>
      <c r="Y23" s="76"/>
      <c r="Z23" s="76"/>
      <c r="AA23" s="76"/>
      <c r="AB23" s="76"/>
      <c r="AC23" s="76"/>
      <c r="AD23" s="76"/>
      <c r="AE23" s="76"/>
      <c r="AF23" s="76"/>
    </row>
    <row r="24" spans="2:32">
      <c r="B24" s="76"/>
      <c r="C24" s="76"/>
      <c r="D24" s="76"/>
      <c r="E24" s="76"/>
      <c r="F24" s="76"/>
      <c r="G24" s="76"/>
      <c r="H24" s="76"/>
      <c r="I24" s="76"/>
      <c r="J24" s="76"/>
      <c r="K24" s="76"/>
      <c r="L24" s="24"/>
      <c r="M24" s="76"/>
      <c r="N24" s="76"/>
      <c r="O24" s="76"/>
      <c r="P24" s="76"/>
      <c r="Q24" s="76"/>
      <c r="R24" s="76"/>
      <c r="S24" s="76"/>
      <c r="T24" s="76"/>
      <c r="U24" s="76"/>
      <c r="V24" s="76"/>
      <c r="W24" s="24"/>
      <c r="X24" s="76"/>
      <c r="Y24" s="76"/>
      <c r="Z24" s="76"/>
      <c r="AA24" s="76"/>
      <c r="AB24" s="76"/>
      <c r="AC24" s="76"/>
      <c r="AD24" s="76"/>
      <c r="AE24" s="76"/>
      <c r="AF24" s="76"/>
    </row>
    <row r="25" spans="2:32">
      <c r="B25" s="76"/>
      <c r="C25" s="76"/>
      <c r="D25" s="76"/>
      <c r="E25" s="76"/>
      <c r="F25" s="76"/>
      <c r="G25" s="76"/>
      <c r="H25" s="76"/>
      <c r="I25" s="76"/>
      <c r="J25" s="76"/>
      <c r="K25" s="76"/>
      <c r="L25" s="24"/>
      <c r="M25" s="76"/>
      <c r="N25" s="76"/>
      <c r="O25" s="76"/>
      <c r="P25" s="76"/>
      <c r="Q25" s="76"/>
      <c r="R25" s="76"/>
      <c r="S25" s="76"/>
      <c r="T25" s="76"/>
      <c r="U25" s="76"/>
      <c r="V25" s="76"/>
      <c r="W25" s="24"/>
      <c r="X25" s="76"/>
      <c r="Y25" s="76"/>
      <c r="Z25" s="76"/>
      <c r="AA25" s="76"/>
      <c r="AB25" s="76"/>
      <c r="AC25" s="76"/>
      <c r="AD25" s="76"/>
      <c r="AE25" s="76"/>
      <c r="AF25" s="76"/>
    </row>
    <row r="26" spans="2:32">
      <c r="B26" s="76"/>
      <c r="C26" s="76"/>
      <c r="D26" s="76"/>
      <c r="E26" s="76"/>
      <c r="F26" s="76"/>
      <c r="G26" s="76"/>
      <c r="H26" s="76"/>
      <c r="I26" s="76"/>
      <c r="J26" s="76"/>
      <c r="K26" s="76"/>
      <c r="L26" s="24"/>
      <c r="M26" s="76"/>
      <c r="N26" s="76"/>
      <c r="O26" s="76"/>
      <c r="P26" s="76"/>
      <c r="Q26" s="76"/>
      <c r="R26" s="76"/>
      <c r="S26" s="76"/>
      <c r="T26" s="76"/>
      <c r="U26" s="76"/>
      <c r="V26" s="76"/>
      <c r="W26" s="24"/>
      <c r="X26" s="76"/>
      <c r="Y26" s="76"/>
      <c r="Z26" s="76"/>
      <c r="AA26" s="76"/>
      <c r="AB26" s="76"/>
      <c r="AC26" s="76"/>
      <c r="AD26" s="76"/>
      <c r="AE26" s="76"/>
      <c r="AF26" s="76"/>
    </row>
    <row r="27" spans="2:32">
      <c r="B27" s="76"/>
      <c r="C27" s="76"/>
      <c r="D27" s="76"/>
      <c r="E27" s="76"/>
      <c r="F27" s="76"/>
      <c r="G27" s="76"/>
      <c r="H27" s="76"/>
      <c r="I27" s="76"/>
      <c r="J27" s="76"/>
      <c r="K27" s="76"/>
      <c r="L27" s="24"/>
      <c r="M27" s="76"/>
      <c r="N27" s="76"/>
      <c r="O27" s="76"/>
      <c r="P27" s="76"/>
      <c r="Q27" s="76"/>
      <c r="R27" s="76"/>
      <c r="S27" s="76"/>
      <c r="T27" s="76"/>
      <c r="U27" s="76"/>
      <c r="V27" s="76"/>
      <c r="W27" s="24"/>
      <c r="X27" s="76"/>
      <c r="Y27" s="76"/>
      <c r="Z27" s="76"/>
      <c r="AA27" s="76"/>
      <c r="AB27" s="76"/>
      <c r="AC27" s="76"/>
      <c r="AD27" s="76"/>
      <c r="AE27" s="76"/>
      <c r="AF27" s="76"/>
    </row>
    <row r="28" spans="2:32">
      <c r="B28" s="76"/>
      <c r="C28" s="76"/>
      <c r="D28" s="76"/>
      <c r="E28" s="76"/>
      <c r="F28" s="76"/>
      <c r="G28" s="76"/>
      <c r="H28" s="76"/>
      <c r="I28" s="76"/>
      <c r="J28" s="76"/>
      <c r="K28" s="76"/>
      <c r="L28" s="24"/>
      <c r="M28" s="76"/>
      <c r="N28" s="76"/>
      <c r="O28" s="76"/>
      <c r="P28" s="76"/>
      <c r="Q28" s="76"/>
      <c r="R28" s="76"/>
      <c r="S28" s="76"/>
      <c r="T28" s="76"/>
      <c r="U28" s="76"/>
      <c r="V28" s="76"/>
      <c r="W28" s="24"/>
      <c r="X28" s="76"/>
      <c r="Y28" s="76"/>
      <c r="Z28" s="76"/>
      <c r="AA28" s="76"/>
      <c r="AB28" s="76"/>
      <c r="AC28" s="76"/>
      <c r="AD28" s="76"/>
      <c r="AE28" s="76"/>
      <c r="AF28" s="76"/>
    </row>
    <row r="29" spans="2:32">
      <c r="B29" s="76"/>
      <c r="C29" s="76"/>
      <c r="D29" s="76"/>
      <c r="E29" s="76"/>
      <c r="F29" s="76"/>
      <c r="G29" s="76"/>
      <c r="H29" s="76"/>
      <c r="I29" s="76"/>
      <c r="J29" s="76"/>
      <c r="K29" s="76"/>
      <c r="L29" s="24"/>
      <c r="M29" s="76"/>
      <c r="N29" s="76"/>
      <c r="O29" s="76"/>
      <c r="P29" s="76"/>
      <c r="Q29" s="76"/>
      <c r="R29" s="76"/>
      <c r="S29" s="76"/>
      <c r="T29" s="76"/>
      <c r="U29" s="76"/>
      <c r="V29" s="76"/>
      <c r="W29" s="24"/>
      <c r="X29" s="76"/>
      <c r="Y29" s="76"/>
      <c r="Z29" s="76"/>
      <c r="AA29" s="76"/>
      <c r="AB29" s="76"/>
      <c r="AC29" s="76"/>
      <c r="AD29" s="76"/>
      <c r="AE29" s="76"/>
      <c r="AF29" s="76"/>
    </row>
    <row r="30" spans="2:32">
      <c r="B30" s="76"/>
      <c r="C30" s="76"/>
      <c r="D30" s="76"/>
      <c r="E30" s="76"/>
      <c r="F30" s="76"/>
      <c r="G30" s="76"/>
      <c r="H30" s="76"/>
      <c r="I30" s="76"/>
      <c r="J30" s="76"/>
      <c r="K30" s="76"/>
      <c r="L30" s="24"/>
      <c r="M30" s="76"/>
      <c r="N30" s="76"/>
      <c r="O30" s="76"/>
      <c r="P30" s="76"/>
      <c r="Q30" s="76"/>
      <c r="R30" s="76"/>
      <c r="S30" s="76"/>
      <c r="T30" s="76"/>
      <c r="U30" s="76"/>
      <c r="V30" s="76"/>
      <c r="W30" s="24"/>
      <c r="X30" s="76"/>
      <c r="Y30" s="76"/>
      <c r="Z30" s="76"/>
      <c r="AA30" s="76"/>
      <c r="AB30" s="76"/>
      <c r="AC30" s="76"/>
      <c r="AD30" s="76"/>
      <c r="AE30" s="76"/>
      <c r="AF30" s="76"/>
    </row>
    <row r="31" spans="2:32">
      <c r="B31" s="76"/>
      <c r="C31" s="76"/>
      <c r="D31" s="76"/>
      <c r="E31" s="76"/>
      <c r="F31" s="76"/>
      <c r="G31" s="76"/>
      <c r="H31" s="76"/>
      <c r="I31" s="76"/>
      <c r="J31" s="76"/>
      <c r="K31" s="76"/>
      <c r="L31" s="24"/>
      <c r="M31" s="76"/>
      <c r="N31" s="76"/>
      <c r="O31" s="76"/>
      <c r="P31" s="76"/>
      <c r="Q31" s="76"/>
      <c r="R31" s="76"/>
      <c r="S31" s="76"/>
      <c r="T31" s="76"/>
      <c r="U31" s="76"/>
      <c r="V31" s="76"/>
      <c r="W31" s="24"/>
      <c r="X31" s="76"/>
      <c r="Y31" s="76"/>
      <c r="Z31" s="76"/>
      <c r="AA31" s="76"/>
      <c r="AB31" s="76"/>
      <c r="AC31" s="76"/>
      <c r="AD31" s="76"/>
      <c r="AE31" s="76"/>
      <c r="AF31" s="76"/>
    </row>
    <row r="32" spans="2:32">
      <c r="B32" s="76"/>
      <c r="C32" s="76"/>
      <c r="D32" s="76"/>
      <c r="E32" s="76"/>
      <c r="F32" s="76"/>
      <c r="G32" s="76"/>
      <c r="H32" s="76"/>
      <c r="I32" s="76"/>
      <c r="J32" s="76"/>
      <c r="K32" s="76"/>
      <c r="L32" s="24"/>
      <c r="M32" s="76"/>
      <c r="N32" s="76"/>
      <c r="O32" s="76"/>
      <c r="P32" s="76"/>
      <c r="Q32" s="76"/>
      <c r="R32" s="76"/>
      <c r="S32" s="76"/>
      <c r="T32" s="76"/>
      <c r="U32" s="76"/>
      <c r="V32" s="76"/>
      <c r="W32" s="24"/>
      <c r="X32" s="76"/>
      <c r="Y32" s="76"/>
      <c r="Z32" s="76"/>
      <c r="AA32" s="76"/>
      <c r="AB32" s="76"/>
      <c r="AC32" s="76"/>
      <c r="AD32" s="76"/>
      <c r="AE32" s="76"/>
      <c r="AF32" s="76"/>
    </row>
    <row r="33" spans="2:32">
      <c r="B33" s="76"/>
      <c r="C33" s="76"/>
      <c r="D33" s="76"/>
      <c r="E33" s="76"/>
      <c r="F33" s="76"/>
      <c r="G33" s="76"/>
      <c r="H33" s="76"/>
      <c r="I33" s="76"/>
      <c r="J33" s="76"/>
      <c r="K33" s="76"/>
      <c r="L33" s="24"/>
      <c r="M33" s="76"/>
      <c r="N33" s="76"/>
      <c r="O33" s="76"/>
      <c r="P33" s="76"/>
      <c r="Q33" s="76"/>
      <c r="R33" s="76"/>
      <c r="S33" s="76"/>
      <c r="T33" s="76"/>
      <c r="U33" s="76"/>
      <c r="V33" s="76"/>
      <c r="W33" s="24"/>
      <c r="X33" s="76"/>
      <c r="Y33" s="76"/>
      <c r="Z33" s="76"/>
      <c r="AA33" s="76"/>
      <c r="AB33" s="76"/>
      <c r="AC33" s="76"/>
      <c r="AD33" s="76"/>
      <c r="AE33" s="76"/>
      <c r="AF33" s="76"/>
    </row>
    <row r="34" spans="2:32">
      <c r="B34" s="76"/>
      <c r="C34" s="76"/>
      <c r="D34" s="76"/>
      <c r="E34" s="76"/>
      <c r="F34" s="76"/>
      <c r="G34" s="76"/>
      <c r="H34" s="76"/>
      <c r="I34" s="76"/>
      <c r="J34" s="76"/>
      <c r="K34" s="76"/>
      <c r="L34" s="24"/>
      <c r="M34" s="76"/>
      <c r="N34" s="76"/>
      <c r="O34" s="76"/>
      <c r="P34" s="76"/>
      <c r="Q34" s="76"/>
      <c r="R34" s="76"/>
      <c r="S34" s="76"/>
      <c r="T34" s="76"/>
      <c r="U34" s="76"/>
      <c r="V34" s="76"/>
      <c r="W34" s="24"/>
      <c r="X34" s="76"/>
      <c r="Y34" s="76"/>
      <c r="Z34" s="76"/>
      <c r="AA34" s="76"/>
      <c r="AB34" s="76"/>
      <c r="AC34" s="76"/>
      <c r="AD34" s="76"/>
      <c r="AE34" s="76"/>
      <c r="AF34" s="76"/>
    </row>
    <row r="35" spans="2:32">
      <c r="B35" s="76"/>
      <c r="C35" s="76"/>
      <c r="D35" s="76"/>
      <c r="E35" s="76"/>
      <c r="F35" s="76"/>
      <c r="G35" s="76"/>
      <c r="H35" s="76"/>
      <c r="I35" s="76"/>
      <c r="J35" s="76"/>
      <c r="K35" s="76"/>
      <c r="L35" s="24"/>
      <c r="M35" s="76"/>
      <c r="N35" s="76"/>
      <c r="O35" s="76"/>
      <c r="P35" s="76"/>
      <c r="Q35" s="76"/>
      <c r="R35" s="76"/>
      <c r="S35" s="76"/>
      <c r="T35" s="76"/>
      <c r="U35" s="76"/>
      <c r="V35" s="76"/>
      <c r="W35" s="24"/>
      <c r="X35" s="76"/>
      <c r="Y35" s="76"/>
      <c r="Z35" s="76"/>
      <c r="AA35" s="76"/>
      <c r="AB35" s="76"/>
      <c r="AC35" s="76"/>
      <c r="AD35" s="76"/>
      <c r="AE35" s="76"/>
      <c r="AF35" s="76"/>
    </row>
    <row r="36" spans="2:32">
      <c r="B36" s="76"/>
      <c r="C36" s="76"/>
      <c r="D36" s="76"/>
      <c r="E36" s="76"/>
      <c r="F36" s="76"/>
      <c r="G36" s="76"/>
      <c r="H36" s="76"/>
      <c r="I36" s="76"/>
      <c r="J36" s="76"/>
      <c r="K36" s="76"/>
      <c r="L36" s="24"/>
      <c r="M36" s="76"/>
      <c r="N36" s="76"/>
      <c r="O36" s="76"/>
      <c r="P36" s="76"/>
      <c r="Q36" s="76"/>
      <c r="R36" s="76"/>
      <c r="S36" s="76"/>
      <c r="T36" s="76"/>
      <c r="U36" s="76"/>
      <c r="V36" s="76"/>
      <c r="W36" s="24"/>
      <c r="X36" s="76"/>
      <c r="Y36" s="76"/>
      <c r="Z36" s="76"/>
      <c r="AA36" s="76"/>
      <c r="AB36" s="76"/>
      <c r="AC36" s="76"/>
      <c r="AD36" s="76"/>
      <c r="AE36" s="76"/>
      <c r="AF36" s="76"/>
    </row>
    <row r="37" spans="2:32">
      <c r="B37" s="76"/>
      <c r="C37" s="76"/>
      <c r="D37" s="76"/>
      <c r="E37" s="76"/>
      <c r="F37" s="76"/>
      <c r="G37" s="76"/>
      <c r="H37" s="76"/>
      <c r="I37" s="76"/>
      <c r="J37" s="76"/>
      <c r="K37" s="76"/>
      <c r="L37" s="24"/>
      <c r="M37" s="76"/>
      <c r="N37" s="76"/>
      <c r="O37" s="76"/>
      <c r="P37" s="76"/>
      <c r="Q37" s="76"/>
      <c r="R37" s="76"/>
      <c r="S37" s="76"/>
      <c r="T37" s="76"/>
      <c r="U37" s="76"/>
      <c r="V37" s="76"/>
      <c r="W37" s="24"/>
      <c r="X37" s="76"/>
      <c r="Y37" s="76"/>
      <c r="Z37" s="76"/>
      <c r="AA37" s="76"/>
      <c r="AB37" s="76"/>
      <c r="AC37" s="76"/>
      <c r="AD37" s="76"/>
      <c r="AE37" s="76"/>
      <c r="AF37" s="76"/>
    </row>
    <row r="38" spans="2:32">
      <c r="B38" s="76"/>
      <c r="C38" s="76"/>
      <c r="D38" s="76"/>
      <c r="E38" s="76"/>
      <c r="F38" s="76"/>
      <c r="G38" s="76"/>
      <c r="H38" s="76"/>
      <c r="I38" s="76"/>
      <c r="J38" s="76"/>
      <c r="K38" s="76"/>
      <c r="L38" s="24"/>
      <c r="M38" s="76"/>
      <c r="N38" s="76"/>
      <c r="O38" s="76"/>
      <c r="P38" s="76"/>
      <c r="Q38" s="76"/>
      <c r="R38" s="76"/>
      <c r="S38" s="76"/>
      <c r="T38" s="76"/>
      <c r="U38" s="76"/>
      <c r="V38" s="76"/>
      <c r="W38" s="24"/>
      <c r="X38" s="76"/>
      <c r="Y38" s="76"/>
      <c r="Z38" s="76"/>
      <c r="AA38" s="76"/>
      <c r="AB38" s="76"/>
      <c r="AC38" s="76"/>
      <c r="AD38" s="76"/>
      <c r="AE38" s="76"/>
      <c r="AF38" s="76"/>
    </row>
    <row r="39" spans="2:32">
      <c r="B39" s="76"/>
      <c r="C39" s="76"/>
      <c r="D39" s="76"/>
      <c r="E39" s="76"/>
      <c r="F39" s="76"/>
      <c r="G39" s="76"/>
      <c r="H39" s="76"/>
      <c r="I39" s="76"/>
      <c r="J39" s="76"/>
      <c r="K39" s="76"/>
      <c r="L39" s="24"/>
      <c r="M39" s="76"/>
      <c r="N39" s="76"/>
      <c r="O39" s="76"/>
      <c r="P39" s="76"/>
      <c r="Q39" s="76"/>
      <c r="R39" s="76"/>
      <c r="S39" s="76"/>
      <c r="T39" s="76"/>
      <c r="U39" s="76"/>
      <c r="V39" s="76"/>
      <c r="W39" s="24"/>
      <c r="X39" s="76"/>
      <c r="Y39" s="76"/>
      <c r="Z39" s="76"/>
      <c r="AA39" s="76"/>
      <c r="AB39" s="76"/>
      <c r="AC39" s="76"/>
      <c r="AD39" s="76"/>
      <c r="AE39" s="76"/>
      <c r="AF39" s="76"/>
    </row>
    <row r="40" spans="2:32">
      <c r="B40" s="76"/>
      <c r="C40" s="76"/>
      <c r="D40" s="76"/>
      <c r="E40" s="76"/>
      <c r="F40" s="76"/>
      <c r="G40" s="76"/>
      <c r="H40" s="76"/>
      <c r="I40" s="76"/>
      <c r="J40" s="76"/>
      <c r="K40" s="76"/>
      <c r="L40" s="24"/>
      <c r="M40" s="76"/>
      <c r="N40" s="76"/>
      <c r="O40" s="76"/>
      <c r="P40" s="76"/>
      <c r="Q40" s="76"/>
      <c r="R40" s="76"/>
      <c r="S40" s="76"/>
      <c r="T40" s="76"/>
      <c r="U40" s="76"/>
      <c r="V40" s="76"/>
      <c r="W40" s="24"/>
      <c r="X40" s="76"/>
      <c r="Y40" s="76"/>
      <c r="Z40" s="76"/>
      <c r="AA40" s="76"/>
      <c r="AB40" s="76"/>
      <c r="AC40" s="76"/>
      <c r="AD40" s="76"/>
      <c r="AE40" s="76"/>
      <c r="AF40" s="76"/>
    </row>
    <row r="41" spans="2:32">
      <c r="B41" s="12"/>
      <c r="C41" s="76"/>
      <c r="D41" s="76"/>
      <c r="E41" s="76"/>
      <c r="F41" s="76"/>
      <c r="G41" s="76"/>
      <c r="H41" s="76"/>
      <c r="I41" s="76"/>
      <c r="J41" s="76"/>
      <c r="K41" s="76"/>
      <c r="M41" s="12"/>
      <c r="N41" s="12"/>
      <c r="O41" s="12"/>
      <c r="P41" s="12"/>
      <c r="Q41" s="12"/>
      <c r="R41" s="12"/>
      <c r="S41" s="12"/>
      <c r="T41" s="12"/>
      <c r="U41" s="12"/>
      <c r="V41" s="76"/>
      <c r="W41" s="24"/>
      <c r="X41" s="76"/>
      <c r="Y41" s="76"/>
      <c r="Z41" s="76"/>
      <c r="AA41" s="76"/>
      <c r="AB41" s="76"/>
      <c r="AC41" s="76"/>
      <c r="AD41" s="76"/>
      <c r="AE41" s="76"/>
      <c r="AF41" s="76"/>
    </row>
    <row r="42" spans="2:32">
      <c r="V42" s="24"/>
      <c r="W42" s="24"/>
      <c r="X42" s="24"/>
      <c r="Y42" s="24"/>
      <c r="Z42" s="24"/>
      <c r="AA42" s="24"/>
      <c r="AB42" s="24"/>
      <c r="AC42" s="24"/>
      <c r="AD42" s="24"/>
      <c r="AE42" s="24"/>
    </row>
    <row r="43" spans="2:32">
      <c r="V43" s="24"/>
      <c r="W43" s="24"/>
      <c r="X43" s="24"/>
    </row>
    <row r="44" spans="2:32">
      <c r="V44" s="24"/>
      <c r="W44" s="24"/>
      <c r="X44" s="24"/>
    </row>
    <row r="45" spans="2:32">
      <c r="V45" s="24"/>
      <c r="W45" s="24"/>
      <c r="X45" s="24"/>
    </row>
    <row r="46" spans="2:32">
      <c r="V46" s="24"/>
      <c r="W46" s="24"/>
      <c r="X46" s="24"/>
    </row>
    <row r="47" spans="2:32">
      <c r="V47" s="24"/>
      <c r="W47" s="24"/>
      <c r="X47" s="24"/>
    </row>
    <row r="48" spans="2:32">
      <c r="B48" s="76"/>
      <c r="C48" s="76"/>
      <c r="D48" s="76"/>
      <c r="E48" s="76"/>
      <c r="F48" s="76"/>
      <c r="G48" s="76"/>
      <c r="H48" s="76"/>
      <c r="I48" s="76"/>
      <c r="J48" s="76"/>
      <c r="K48" s="76"/>
      <c r="M48" s="76"/>
      <c r="N48" s="76"/>
      <c r="O48" s="76"/>
      <c r="P48" s="76"/>
      <c r="Q48" s="76"/>
      <c r="R48" s="76"/>
      <c r="S48" s="76"/>
      <c r="T48" s="76"/>
      <c r="U48" s="76"/>
      <c r="V48" s="76"/>
      <c r="W48" s="24"/>
      <c r="X48" s="24"/>
      <c r="Z48" s="148"/>
      <c r="AA48" s="148"/>
    </row>
    <row r="49" spans="2:27" ht="21">
      <c r="B49" s="76"/>
      <c r="C49" s="661" t="s">
        <v>414</v>
      </c>
      <c r="D49" s="661"/>
      <c r="E49" s="661"/>
      <c r="F49" s="661"/>
      <c r="G49" s="661"/>
      <c r="H49" s="661"/>
      <c r="I49" s="661"/>
      <c r="J49" s="661"/>
      <c r="K49" s="76"/>
      <c r="M49" s="661" t="s">
        <v>576</v>
      </c>
      <c r="N49" s="661"/>
      <c r="O49" s="661"/>
      <c r="P49" s="661"/>
      <c r="Q49" s="661"/>
      <c r="R49" s="661"/>
      <c r="S49" s="661"/>
      <c r="T49" s="661"/>
      <c r="U49" s="661"/>
      <c r="V49" s="661"/>
      <c r="W49" s="24"/>
      <c r="X49" s="24"/>
      <c r="Z49" s="148"/>
      <c r="AA49" s="148"/>
    </row>
    <row r="50" spans="2:27" ht="17.399999999999999">
      <c r="B50" s="76"/>
      <c r="C50" s="300"/>
      <c r="D50" s="300"/>
      <c r="E50" s="300"/>
      <c r="F50" s="300"/>
      <c r="G50" s="300"/>
      <c r="H50" s="300"/>
      <c r="I50" s="300"/>
      <c r="J50" s="300"/>
      <c r="K50" s="76"/>
      <c r="M50" s="76"/>
      <c r="N50" s="300"/>
      <c r="O50" s="300"/>
      <c r="P50" s="300"/>
      <c r="Q50" s="300"/>
      <c r="R50" s="300"/>
      <c r="S50" s="300"/>
      <c r="T50" s="300"/>
      <c r="U50" s="300"/>
      <c r="V50" s="76"/>
      <c r="W50" s="24"/>
      <c r="X50" s="24"/>
      <c r="Z50" s="148"/>
      <c r="AA50" s="148"/>
    </row>
    <row r="51" spans="2:27" ht="65.400000000000006" customHeight="1">
      <c r="B51" s="76"/>
      <c r="C51" s="662" t="s">
        <v>566</v>
      </c>
      <c r="D51" s="662"/>
      <c r="E51" s="662"/>
      <c r="F51" s="662"/>
      <c r="G51" s="662"/>
      <c r="H51" s="662"/>
      <c r="I51" s="662"/>
      <c r="J51" s="662"/>
      <c r="K51" s="76"/>
      <c r="M51" s="76"/>
      <c r="N51" s="662" t="s">
        <v>567</v>
      </c>
      <c r="O51" s="662"/>
      <c r="P51" s="662"/>
      <c r="Q51" s="662"/>
      <c r="R51" s="662"/>
      <c r="S51" s="662"/>
      <c r="T51" s="662"/>
      <c r="U51" s="662"/>
      <c r="V51" s="76"/>
      <c r="W51" s="24"/>
      <c r="X51" s="24"/>
      <c r="Z51" s="148"/>
      <c r="AA51" s="148"/>
    </row>
    <row r="52" spans="2:27">
      <c r="B52" s="76"/>
      <c r="C52" s="76"/>
      <c r="D52" s="292"/>
      <c r="E52" s="292"/>
      <c r="F52" s="292"/>
      <c r="G52" s="76"/>
      <c r="H52" s="76"/>
      <c r="I52" s="76"/>
      <c r="J52" s="76"/>
      <c r="K52" s="76"/>
      <c r="M52" s="76"/>
      <c r="N52" s="76"/>
      <c r="O52" s="76"/>
      <c r="P52" s="76"/>
      <c r="Q52" s="76"/>
      <c r="R52" s="76"/>
      <c r="S52" s="76"/>
      <c r="T52" s="12"/>
      <c r="U52" s="12"/>
      <c r="V52" s="76"/>
      <c r="W52" s="24"/>
      <c r="X52" s="24"/>
    </row>
    <row r="53" spans="2:27" ht="39.6">
      <c r="B53" s="76"/>
      <c r="C53" s="76"/>
      <c r="D53" s="76"/>
      <c r="E53" s="76"/>
      <c r="F53" s="76"/>
      <c r="G53" s="76"/>
      <c r="H53" s="76"/>
      <c r="I53" s="76"/>
      <c r="J53" s="76"/>
      <c r="K53" s="76"/>
      <c r="M53" s="76"/>
      <c r="N53" s="76"/>
      <c r="O53" s="76"/>
      <c r="P53" s="76" t="s">
        <v>108</v>
      </c>
      <c r="Q53" s="90" t="s">
        <v>640</v>
      </c>
      <c r="R53" s="90" t="s">
        <v>568</v>
      </c>
      <c r="S53" s="76"/>
      <c r="T53" s="295" t="s">
        <v>116</v>
      </c>
      <c r="U53" s="76"/>
      <c r="V53" s="76"/>
      <c r="W53" s="24"/>
      <c r="X53" s="24"/>
    </row>
    <row r="54" spans="2:27">
      <c r="B54" s="76"/>
      <c r="C54" s="76"/>
      <c r="D54" s="76"/>
      <c r="E54" s="76"/>
      <c r="F54" s="76"/>
      <c r="G54" s="76"/>
      <c r="H54" s="76"/>
      <c r="I54" s="76"/>
      <c r="J54" s="76"/>
      <c r="K54" s="76"/>
      <c r="M54" s="76"/>
      <c r="N54" s="412" t="s">
        <v>2</v>
      </c>
      <c r="O54" s="296" t="str">
        <f>VLOOKUP(N54,Rechner!$C$9:$E$21,3,FALSE)</f>
        <v>€/MWh</v>
      </c>
      <c r="P54" s="297">
        <f>VLOOKUP(N54,Rechner!$C$9:$E$21,2,FALSE)</f>
        <v>50</v>
      </c>
      <c r="Q54" s="297" t="str">
        <f>IF(ISBLANK(VLOOKUP(N54,Rechner!$C$9:$F$21,4,FALSE)),"",VLOOKUP(N54,Rechner!$C$9:$F$21,4,FALSE))</f>
        <v/>
      </c>
      <c r="R54" s="14"/>
      <c r="S54" s="76"/>
      <c r="T54" s="91" t="str">
        <f>Rechner!C10</f>
        <v>Alternativbrennstoffe</v>
      </c>
      <c r="U54" s="299"/>
      <c r="V54" s="76"/>
      <c r="W54" s="24"/>
      <c r="X54" s="24"/>
    </row>
    <row r="55" spans="2:27">
      <c r="B55" s="76"/>
      <c r="C55" s="76"/>
      <c r="D55" s="76"/>
      <c r="E55" s="76" t="s">
        <v>109</v>
      </c>
      <c r="F55" s="76" t="s">
        <v>84</v>
      </c>
      <c r="G55" s="76"/>
      <c r="H55" s="76" t="s">
        <v>110</v>
      </c>
      <c r="I55" s="76"/>
      <c r="J55" s="76"/>
      <c r="K55" s="76"/>
      <c r="M55" s="76"/>
      <c r="N55" s="412" t="s">
        <v>9</v>
      </c>
      <c r="O55" s="296" t="str">
        <f>VLOOKUP(N55,Rechner!$C$9:$E$21,3,FALSE)</f>
        <v>€/t</v>
      </c>
      <c r="P55" s="297">
        <f>VLOOKUP(N55,Rechner!$C$9:$E$21,2,FALSE)</f>
        <v>63.4</v>
      </c>
      <c r="Q55" s="297" t="str">
        <f>IF(ISBLANK(VLOOKUP(N55,Rechner!$C$9:$F$21,4,FALSE)),"",VLOOKUP(N55,Rechner!$C$9:$F$21,4,FALSE))</f>
        <v/>
      </c>
      <c r="R55" s="14"/>
      <c r="S55" s="76"/>
      <c r="T55" s="91" t="str">
        <f>Rechner!C11</f>
        <v>Steinkohle</v>
      </c>
      <c r="U55" s="299"/>
      <c r="V55" s="76"/>
      <c r="W55" s="24"/>
      <c r="X55" s="24"/>
    </row>
    <row r="56" spans="2:27" ht="15.6">
      <c r="B56" s="76"/>
      <c r="C56" s="76"/>
      <c r="D56" s="76"/>
      <c r="E56" s="76" t="s">
        <v>0</v>
      </c>
      <c r="F56" s="76" t="e">
        <v>#REF!</v>
      </c>
      <c r="G56" s="76" t="s">
        <v>8</v>
      </c>
      <c r="H56" s="76">
        <v>30</v>
      </c>
      <c r="I56" s="76"/>
      <c r="J56" s="76"/>
      <c r="K56" s="76"/>
      <c r="M56" s="76"/>
      <c r="N56" s="412" t="s">
        <v>572</v>
      </c>
      <c r="O56" s="296" t="str">
        <f>VLOOKUP(N56,Rechner!$C$9:$E$21,3,FALSE)</f>
        <v>€/tCO2</v>
      </c>
      <c r="P56" s="297">
        <f>Rechner!D21</f>
        <v>36</v>
      </c>
      <c r="Q56" s="297" t="str">
        <f>IF(ISBLANK(VLOOKUP(N56,Rechner!$C$9:$F$21,4,FALSE)),"",VLOOKUP(N56,Rechner!$C$9:$F$21,4,FALSE))</f>
        <v/>
      </c>
      <c r="R56" s="14"/>
      <c r="S56" s="76"/>
      <c r="T56" s="91" t="str">
        <f>Rechner!C12</f>
        <v>Braunkohle</v>
      </c>
      <c r="U56" s="299"/>
      <c r="V56" s="76"/>
      <c r="W56" s="24"/>
      <c r="X56" s="24"/>
    </row>
    <row r="57" spans="2:27">
      <c r="B57" s="76"/>
      <c r="C57" s="76"/>
      <c r="D57" s="76"/>
      <c r="E57" s="76"/>
      <c r="F57" s="76"/>
      <c r="G57" s="76"/>
      <c r="H57" s="76"/>
      <c r="I57" s="76"/>
      <c r="J57" s="76"/>
      <c r="K57" s="76"/>
      <c r="M57" s="76"/>
      <c r="N57" s="76"/>
      <c r="O57" s="91"/>
      <c r="P57" s="76"/>
      <c r="Q57" s="79"/>
      <c r="R57" s="76"/>
      <c r="S57" s="76"/>
      <c r="T57" s="91" t="str">
        <f>Rechner!C13</f>
        <v>Petrolkoks</v>
      </c>
      <c r="U57" s="299"/>
      <c r="V57" s="76"/>
      <c r="W57" s="24"/>
      <c r="X57" s="24"/>
    </row>
    <row r="58" spans="2:27">
      <c r="B58" s="76"/>
      <c r="C58" s="76"/>
      <c r="D58" s="76"/>
      <c r="E58" s="76"/>
      <c r="F58" s="76"/>
      <c r="G58" s="76"/>
      <c r="H58" s="76"/>
      <c r="I58" s="76"/>
      <c r="J58" s="76"/>
      <c r="K58" s="76"/>
      <c r="M58" s="76"/>
      <c r="N58" s="76"/>
      <c r="O58" s="76"/>
      <c r="P58" s="76"/>
      <c r="Q58" s="76"/>
      <c r="R58" s="76"/>
      <c r="S58" s="76"/>
      <c r="T58" s="91" t="str">
        <f>Rechner!C14</f>
        <v>Erdgas</v>
      </c>
      <c r="U58" s="299"/>
      <c r="V58" s="76"/>
      <c r="W58" s="24"/>
      <c r="X58" s="24"/>
    </row>
    <row r="59" spans="2:27">
      <c r="B59" s="76"/>
      <c r="C59" s="76"/>
      <c r="D59" s="76"/>
      <c r="E59" s="76"/>
      <c r="F59" s="76"/>
      <c r="G59" s="76"/>
      <c r="H59" s="76"/>
      <c r="I59" s="76"/>
      <c r="J59" s="76"/>
      <c r="K59" s="76"/>
      <c r="M59" s="76"/>
      <c r="N59" s="76"/>
      <c r="O59" s="76"/>
      <c r="P59" s="76"/>
      <c r="Q59" s="76"/>
      <c r="R59" s="76"/>
      <c r="S59" s="76"/>
      <c r="T59" s="91" t="str">
        <f>Rechner!C15</f>
        <v>Biomasse (Holzhackschnitzel)</v>
      </c>
      <c r="U59" s="299"/>
      <c r="V59" s="76"/>
      <c r="W59" s="24"/>
      <c r="X59" s="24"/>
    </row>
    <row r="60" spans="2:27">
      <c r="B60" s="76"/>
      <c r="C60" s="76"/>
      <c r="D60" s="76"/>
      <c r="E60" s="76"/>
      <c r="F60" s="76"/>
      <c r="G60" s="76"/>
      <c r="H60" s="76"/>
      <c r="I60" s="76"/>
      <c r="J60" s="76"/>
      <c r="K60" s="76"/>
      <c r="M60" s="76"/>
      <c r="N60" s="76"/>
      <c r="O60" s="91"/>
      <c r="P60" s="76"/>
      <c r="Q60" s="76"/>
      <c r="R60" s="76"/>
      <c r="S60" s="76"/>
      <c r="T60" s="91" t="str">
        <f>Rechner!C16</f>
        <v>Biomethan</v>
      </c>
      <c r="U60" s="299"/>
      <c r="V60" s="76"/>
      <c r="W60" s="24"/>
      <c r="X60" s="24"/>
    </row>
    <row r="61" spans="2:27">
      <c r="B61" s="76"/>
      <c r="C61" s="76"/>
      <c r="D61" s="76"/>
      <c r="E61" s="76"/>
      <c r="F61" s="76"/>
      <c r="G61" s="76"/>
      <c r="H61" s="76"/>
      <c r="I61" s="76"/>
      <c r="J61" s="76"/>
      <c r="K61" s="76"/>
      <c r="M61" s="76"/>
      <c r="N61" s="76"/>
      <c r="O61" s="76"/>
      <c r="P61" s="76"/>
      <c r="Q61" s="76"/>
      <c r="R61" s="76"/>
      <c r="S61" s="76"/>
      <c r="T61" s="91" t="str">
        <f>Rechner!C17</f>
        <v>Heizöl</v>
      </c>
      <c r="U61" s="299"/>
      <c r="V61" s="76"/>
      <c r="W61" s="24"/>
      <c r="X61" s="24"/>
    </row>
    <row r="62" spans="2:27">
      <c r="B62" s="76"/>
      <c r="C62" s="76"/>
      <c r="D62" s="76"/>
      <c r="E62" s="76"/>
      <c r="F62" s="76"/>
      <c r="G62" s="76"/>
      <c r="H62" s="76"/>
      <c r="I62" s="76"/>
      <c r="J62" s="76"/>
      <c r="K62" s="76"/>
      <c r="M62" s="76"/>
      <c r="N62" s="76"/>
      <c r="O62" s="76"/>
      <c r="P62" s="76"/>
      <c r="Q62" s="76"/>
      <c r="R62" s="76"/>
      <c r="S62" s="76"/>
      <c r="T62" s="91" t="str">
        <f>Rechner!C18</f>
        <v>Wasserstoff</v>
      </c>
      <c r="U62" s="299"/>
      <c r="V62" s="76"/>
      <c r="W62" s="24"/>
      <c r="X62" s="24"/>
    </row>
    <row r="63" spans="2:27">
      <c r="B63" s="76"/>
      <c r="C63" s="76"/>
      <c r="D63" s="76"/>
      <c r="E63" s="76"/>
      <c r="F63" s="76"/>
      <c r="G63" s="76"/>
      <c r="H63" s="76"/>
      <c r="I63" s="76"/>
      <c r="J63" s="76"/>
      <c r="K63" s="76"/>
      <c r="M63" s="76"/>
      <c r="N63" s="76"/>
      <c r="O63" s="76"/>
      <c r="P63" s="76"/>
      <c r="Q63" s="76"/>
      <c r="R63" s="76"/>
      <c r="S63" s="76"/>
      <c r="T63" s="76"/>
      <c r="U63" s="298">
        <f>SUM(U54:U62)</f>
        <v>0</v>
      </c>
      <c r="V63" s="76"/>
      <c r="X63" s="24"/>
    </row>
    <row r="64" spans="2:27">
      <c r="B64" s="76"/>
      <c r="C64" s="76"/>
      <c r="D64" s="76"/>
      <c r="E64" s="76"/>
      <c r="F64" s="76"/>
      <c r="G64" s="76"/>
      <c r="H64" s="76"/>
      <c r="I64" s="76"/>
      <c r="J64" s="76"/>
      <c r="K64" s="76"/>
      <c r="M64" s="76"/>
      <c r="N64" s="76"/>
      <c r="O64" s="76"/>
      <c r="P64" s="76"/>
      <c r="Q64" s="76"/>
      <c r="R64" s="76"/>
      <c r="S64" s="76"/>
      <c r="T64" s="76"/>
      <c r="U64" s="76"/>
      <c r="V64" s="76"/>
      <c r="X64" s="24"/>
    </row>
    <row r="65" spans="2:24">
      <c r="B65" s="76"/>
      <c r="C65" s="76"/>
      <c r="D65" s="76"/>
      <c r="E65" s="76"/>
      <c r="F65" s="76"/>
      <c r="G65" s="76"/>
      <c r="H65" s="76"/>
      <c r="I65" s="76"/>
      <c r="J65" s="76"/>
      <c r="K65" s="76"/>
      <c r="M65" s="76"/>
      <c r="N65" s="76"/>
      <c r="O65" s="76"/>
      <c r="P65" s="76"/>
      <c r="Q65" s="76"/>
      <c r="R65" s="76"/>
      <c r="S65" s="76"/>
      <c r="T65" s="76"/>
      <c r="U65" s="76"/>
      <c r="V65" s="76"/>
      <c r="X65" s="24"/>
    </row>
    <row r="66" spans="2:24">
      <c r="B66" s="76"/>
      <c r="C66" s="76"/>
      <c r="D66" s="76"/>
      <c r="E66" s="76"/>
      <c r="F66" s="76"/>
      <c r="G66" s="76"/>
      <c r="H66" s="76"/>
      <c r="I66" s="76"/>
      <c r="J66" s="76"/>
      <c r="K66" s="76"/>
      <c r="M66" s="76"/>
      <c r="N66" s="76"/>
      <c r="O66" s="76"/>
      <c r="P66" s="76"/>
      <c r="Q66" s="76"/>
      <c r="R66" s="76"/>
      <c r="S66" s="76"/>
      <c r="T66" s="76"/>
      <c r="U66" s="76"/>
      <c r="V66" s="76"/>
      <c r="X66" s="24"/>
    </row>
    <row r="67" spans="2:24">
      <c r="B67" s="76"/>
      <c r="C67" s="76"/>
      <c r="D67" s="76"/>
      <c r="E67" s="76"/>
      <c r="F67" s="76"/>
      <c r="G67" s="76"/>
      <c r="H67" s="76"/>
      <c r="I67" s="76"/>
      <c r="J67" s="76"/>
      <c r="K67" s="76"/>
      <c r="M67" s="76"/>
      <c r="N67" s="76"/>
      <c r="O67" s="76"/>
      <c r="P67" s="76"/>
      <c r="Q67" s="76"/>
      <c r="R67" s="76"/>
      <c r="S67" s="76"/>
      <c r="T67" s="76"/>
      <c r="U67" s="76"/>
      <c r="V67" s="76"/>
    </row>
    <row r="68" spans="2:24">
      <c r="B68" s="76"/>
      <c r="C68" s="76"/>
      <c r="D68" s="76"/>
      <c r="E68" s="76"/>
      <c r="F68" s="76"/>
      <c r="G68" s="76"/>
      <c r="H68" s="76"/>
      <c r="I68" s="76"/>
      <c r="J68" s="76"/>
      <c r="K68" s="76"/>
      <c r="M68" s="76"/>
      <c r="N68" s="76"/>
      <c r="O68" s="76"/>
      <c r="P68" s="76"/>
      <c r="Q68" s="76"/>
      <c r="R68" s="76"/>
      <c r="S68" s="76"/>
      <c r="T68" s="76"/>
      <c r="U68" s="76"/>
      <c r="V68" s="76"/>
    </row>
    <row r="69" spans="2:24">
      <c r="B69" s="76"/>
      <c r="C69" s="76"/>
      <c r="D69" s="76"/>
      <c r="E69" s="76"/>
      <c r="F69" s="76"/>
      <c r="G69" s="76"/>
      <c r="H69" s="76"/>
      <c r="I69" s="76"/>
      <c r="J69" s="76"/>
      <c r="K69" s="76"/>
      <c r="M69" s="76"/>
      <c r="N69" s="76"/>
      <c r="O69" s="76"/>
      <c r="P69" s="76"/>
      <c r="Q69" s="76"/>
      <c r="R69" s="76"/>
      <c r="S69" s="76"/>
      <c r="T69" s="76"/>
      <c r="U69" s="76"/>
      <c r="V69" s="76"/>
    </row>
    <row r="70" spans="2:24">
      <c r="B70" s="76"/>
      <c r="C70" s="76"/>
      <c r="D70" s="76"/>
      <c r="E70" s="76"/>
      <c r="F70" s="76"/>
      <c r="G70" s="76"/>
      <c r="H70" s="76"/>
      <c r="I70" s="76"/>
      <c r="J70" s="76"/>
      <c r="K70" s="76"/>
      <c r="M70" s="76"/>
      <c r="N70" s="76"/>
      <c r="O70" s="76"/>
      <c r="P70" s="76"/>
      <c r="Q70" s="76"/>
      <c r="R70" s="76"/>
      <c r="S70" s="76"/>
      <c r="T70" s="76"/>
      <c r="U70" s="76"/>
      <c r="V70" s="76"/>
    </row>
    <row r="71" spans="2:24">
      <c r="B71" s="76"/>
      <c r="C71" s="76"/>
      <c r="D71" s="76"/>
      <c r="E71" s="76"/>
      <c r="F71" s="76"/>
      <c r="G71" s="76"/>
      <c r="H71" s="76"/>
      <c r="I71" s="76"/>
      <c r="J71" s="76"/>
      <c r="K71" s="76"/>
      <c r="M71" s="76"/>
      <c r="N71" s="76"/>
      <c r="O71" s="292"/>
      <c r="P71" s="292"/>
      <c r="Q71" s="76"/>
      <c r="R71" s="76"/>
      <c r="S71" s="76"/>
      <c r="T71" s="76"/>
      <c r="U71" s="76"/>
      <c r="V71" s="76"/>
    </row>
    <row r="72" spans="2:24">
      <c r="B72" s="76"/>
      <c r="C72" s="76"/>
      <c r="D72" s="76"/>
      <c r="E72" s="76"/>
      <c r="F72" s="76"/>
      <c r="G72" s="76"/>
      <c r="H72" s="76"/>
      <c r="I72" s="76"/>
      <c r="J72" s="76"/>
      <c r="K72" s="76"/>
      <c r="M72" s="76"/>
      <c r="N72" s="76"/>
      <c r="O72" s="292"/>
      <c r="P72" s="292"/>
      <c r="Q72" s="76"/>
      <c r="R72" s="76"/>
      <c r="S72" s="76"/>
      <c r="T72" s="76"/>
      <c r="U72" s="76"/>
      <c r="V72" s="76"/>
    </row>
    <row r="73" spans="2:24">
      <c r="B73" s="76"/>
      <c r="C73" s="76"/>
      <c r="D73" s="76"/>
      <c r="E73" s="76"/>
      <c r="F73" s="76"/>
      <c r="G73" s="76"/>
      <c r="H73" s="76"/>
      <c r="I73" s="76"/>
      <c r="J73" s="76"/>
      <c r="K73" s="76"/>
      <c r="M73" s="76"/>
      <c r="N73" s="76"/>
      <c r="O73" s="292"/>
      <c r="P73" s="292"/>
      <c r="Q73" s="76"/>
      <c r="R73" s="76"/>
      <c r="S73" s="76"/>
      <c r="T73" s="76"/>
      <c r="U73" s="76"/>
      <c r="V73" s="76"/>
    </row>
    <row r="74" spans="2:24">
      <c r="M74" s="76"/>
      <c r="N74" s="76"/>
      <c r="O74" s="76"/>
      <c r="P74" s="76"/>
      <c r="Q74" s="76"/>
      <c r="R74" s="76"/>
      <c r="S74" s="76"/>
      <c r="T74" s="76"/>
      <c r="U74" s="76"/>
      <c r="V74" s="76"/>
    </row>
    <row r="75" spans="2:24">
      <c r="M75" s="76"/>
      <c r="N75" s="76"/>
      <c r="O75" s="76"/>
      <c r="P75" s="76"/>
      <c r="Q75" s="76"/>
      <c r="R75" s="76"/>
      <c r="S75" s="76"/>
      <c r="T75" s="76"/>
      <c r="U75" s="76"/>
      <c r="V75" s="76"/>
    </row>
    <row r="76" spans="2:24">
      <c r="M76" s="76"/>
      <c r="N76" s="76"/>
      <c r="O76" s="76"/>
      <c r="P76" s="76"/>
      <c r="Q76" s="76"/>
      <c r="R76" s="76"/>
      <c r="S76" s="76"/>
      <c r="T76" s="76"/>
      <c r="U76" s="76"/>
      <c r="V76" s="76"/>
    </row>
    <row r="77" spans="2:24">
      <c r="M77" s="76"/>
      <c r="N77" s="76"/>
      <c r="O77" s="76"/>
      <c r="P77" s="76"/>
      <c r="Q77" s="76"/>
      <c r="R77" s="76"/>
      <c r="S77" s="76"/>
      <c r="T77" s="76"/>
      <c r="U77" s="76"/>
      <c r="V77" s="76"/>
    </row>
    <row r="78" spans="2:24">
      <c r="M78" s="76"/>
      <c r="N78" s="76"/>
      <c r="O78" s="76"/>
      <c r="P78" s="76"/>
      <c r="Q78" s="76"/>
      <c r="R78" s="76"/>
      <c r="S78" s="76"/>
      <c r="T78" s="76"/>
      <c r="U78" s="76"/>
      <c r="V78" s="76"/>
    </row>
    <row r="79" spans="2:24">
      <c r="M79" s="76"/>
      <c r="N79" s="76"/>
      <c r="O79" s="76"/>
      <c r="P79" s="76"/>
      <c r="Q79" s="76"/>
      <c r="R79" s="76"/>
      <c r="S79" s="76"/>
      <c r="T79" s="76"/>
      <c r="U79" s="76"/>
      <c r="V79" s="76"/>
    </row>
    <row r="80" spans="2:24">
      <c r="M80" s="76"/>
      <c r="N80" s="76"/>
      <c r="O80" s="76"/>
      <c r="P80" s="76"/>
      <c r="Q80" s="76"/>
      <c r="R80" s="76"/>
      <c r="S80" s="76"/>
      <c r="T80" s="76"/>
      <c r="U80" s="76"/>
      <c r="V80" s="76"/>
    </row>
    <row r="81" spans="13:22">
      <c r="M81" s="76"/>
      <c r="N81" s="76"/>
      <c r="O81" s="76"/>
      <c r="P81" s="76"/>
      <c r="Q81" s="76"/>
      <c r="R81" s="76"/>
      <c r="S81" s="76"/>
      <c r="T81" s="76"/>
      <c r="U81" s="76"/>
      <c r="V81" s="76"/>
    </row>
    <row r="82" spans="13:22">
      <c r="M82" s="76"/>
      <c r="N82" s="76"/>
      <c r="O82" s="76"/>
      <c r="P82" s="76"/>
      <c r="Q82" s="76"/>
      <c r="R82" s="76"/>
      <c r="S82" s="76"/>
      <c r="T82" s="76"/>
      <c r="U82" s="76"/>
      <c r="V82" s="76"/>
    </row>
    <row r="83" spans="13:22">
      <c r="M83" s="76"/>
      <c r="N83" s="76"/>
      <c r="O83" s="76"/>
      <c r="P83" s="76"/>
      <c r="Q83" s="76"/>
      <c r="R83" s="76"/>
      <c r="S83" s="76"/>
      <c r="T83" s="76"/>
      <c r="U83" s="76"/>
      <c r="V83" s="76"/>
    </row>
    <row r="84" spans="13:22">
      <c r="M84" s="76"/>
      <c r="N84" s="76"/>
      <c r="O84" s="76"/>
      <c r="P84" s="76"/>
      <c r="Q84" s="76"/>
      <c r="R84" s="76"/>
      <c r="S84" s="76"/>
      <c r="T84" s="76"/>
      <c r="U84" s="76"/>
      <c r="V84" s="76"/>
    </row>
    <row r="85" spans="13:22">
      <c r="M85" s="76"/>
      <c r="N85" s="76"/>
      <c r="O85" s="76"/>
      <c r="P85" s="76"/>
      <c r="Q85" s="76"/>
      <c r="R85" s="76"/>
      <c r="S85" s="76"/>
      <c r="T85" s="76"/>
      <c r="U85" s="76"/>
      <c r="V85" s="76"/>
    </row>
    <row r="86" spans="13:22">
      <c r="M86" s="76"/>
      <c r="N86" s="76"/>
      <c r="O86" s="76"/>
      <c r="P86" s="76"/>
      <c r="Q86" s="76"/>
      <c r="R86" s="76"/>
      <c r="S86" s="76"/>
      <c r="T86" s="76"/>
      <c r="U86" s="76"/>
      <c r="V86" s="76"/>
    </row>
    <row r="87" spans="13:22">
      <c r="M87" s="76"/>
      <c r="N87" s="76"/>
      <c r="O87" s="76"/>
      <c r="P87" s="76"/>
      <c r="Q87" s="76"/>
      <c r="R87" s="76"/>
      <c r="S87" s="76"/>
      <c r="T87" s="76"/>
      <c r="U87" s="76"/>
      <c r="V87" s="76"/>
    </row>
    <row r="88" spans="13:22">
      <c r="M88" s="76"/>
      <c r="N88" s="76"/>
      <c r="O88" s="76"/>
      <c r="P88" s="76"/>
      <c r="Q88" s="76"/>
      <c r="R88" s="76"/>
      <c r="S88" s="76"/>
      <c r="T88" s="76"/>
      <c r="U88" s="76"/>
      <c r="V88" s="76"/>
    </row>
    <row r="89" spans="13:22">
      <c r="M89" s="76"/>
      <c r="N89" s="76"/>
      <c r="O89" s="76"/>
      <c r="P89" s="76"/>
      <c r="Q89" s="76"/>
      <c r="R89" s="76"/>
      <c r="S89" s="76"/>
      <c r="T89" s="76"/>
      <c r="U89" s="76"/>
      <c r="V89" s="76"/>
    </row>
    <row r="90" spans="13:22">
      <c r="M90" s="76"/>
      <c r="N90" s="76"/>
      <c r="O90" s="76"/>
      <c r="P90" s="76"/>
      <c r="Q90" s="76"/>
      <c r="R90" s="76"/>
      <c r="S90" s="76"/>
      <c r="T90" s="76"/>
      <c r="U90" s="76"/>
      <c r="V90" s="76"/>
    </row>
    <row r="91" spans="13:22">
      <c r="M91" s="76"/>
      <c r="N91" s="76"/>
      <c r="O91" s="76"/>
      <c r="P91" s="76"/>
      <c r="Q91" s="76"/>
      <c r="R91" s="76"/>
      <c r="S91" s="76"/>
      <c r="T91" s="76"/>
      <c r="U91" s="76"/>
      <c r="V91" s="76"/>
    </row>
    <row r="92" spans="13:22">
      <c r="M92" s="76"/>
      <c r="N92" s="76"/>
      <c r="O92" s="76"/>
      <c r="P92" s="76"/>
      <c r="Q92" s="76"/>
      <c r="R92" s="76"/>
      <c r="S92" s="76"/>
      <c r="T92" s="76"/>
      <c r="U92" s="76"/>
      <c r="V92" s="12"/>
    </row>
    <row r="93" spans="13:22">
      <c r="M93" s="12"/>
      <c r="N93" s="12"/>
      <c r="O93" s="12"/>
      <c r="P93" s="12"/>
      <c r="Q93" s="12"/>
      <c r="R93" s="12"/>
      <c r="S93" s="12"/>
      <c r="T93" s="12"/>
      <c r="U93" s="12"/>
      <c r="V93" s="12"/>
    </row>
    <row r="94" spans="13:22">
      <c r="M94" s="12"/>
      <c r="N94" s="12"/>
      <c r="O94" s="12"/>
      <c r="P94" s="12"/>
      <c r="Q94" s="12"/>
      <c r="R94" s="12"/>
      <c r="S94" s="12"/>
      <c r="T94" s="12"/>
      <c r="U94" s="12"/>
      <c r="V94" s="12"/>
    </row>
  </sheetData>
  <sheetProtection algorithmName="SHA-512" hashValue="Hvp9vdzm3b86bZ5ASz+lVC9oTIoYy/hvTgpAKnCjaZyQcjhFFZgKK1Blwg6CVxHU57RJocyR0B3Yt2Bh2uCd9g==" saltValue="9tCMmiOgCHmwPB8Dv+p4cw==" spinCount="100000" sheet="1" objects="1" scenarios="1"/>
  <mergeCells count="12">
    <mergeCell ref="C51:J51"/>
    <mergeCell ref="N51:U51"/>
    <mergeCell ref="C49:J49"/>
    <mergeCell ref="C12:J12"/>
    <mergeCell ref="N12:U12"/>
    <mergeCell ref="M49:V49"/>
    <mergeCell ref="Y12:AE12"/>
    <mergeCell ref="E17:F17"/>
    <mergeCell ref="Z18:AA18"/>
    <mergeCell ref="C10:J10"/>
    <mergeCell ref="N10:U10"/>
    <mergeCell ref="Y10:AE10"/>
  </mergeCells>
  <dataValidations xWindow="665" yWindow="357" count="9">
    <dataValidation type="list" allowBlank="1" showInputMessage="1" showErrorMessage="1" prompt="Bitte wählen Sie aus, ob eine Integration in ein bestehendes Zementwerk erfolgt (Retrofit) oder eine Errichtung eines neuen Zementwerks (Greenfield)." sqref="J16" xr:uid="{00000000-0002-0000-0400-000000000000}">
      <formula1>"Greenfield,Retrofit"</formula1>
    </dataValidation>
    <dataValidation allowBlank="1" showInputMessage="1" showErrorMessage="1" prompt="Bitte wählen Sie aus, ob der CO2-Abtransport per Schiff oder per Pipeline erfolgen soll" sqref="P60" xr:uid="{00000000-0002-0000-0400-000001000000}"/>
    <dataValidation type="list" allowBlank="1" showInputMessage="1" showErrorMessage="1" prompt="Bitte wählen Sie aus, ob die Einlagerung biogenen Kohlenstoffs bei der Emissionsminderung berücksichtigt werden soll (Bioenergy with Carbon Capture and Storage BECCS)." sqref="U19" xr:uid="{00000000-0002-0000-0400-000002000000}">
      <formula1>"unberücksichtigt,berücksichtigt"</formula1>
    </dataValidation>
    <dataValidation type="list" allowBlank="1" showInputMessage="1" showErrorMessage="1" prompt="Hier kann ausgewählt werden, ob die Effekte der kostenfreien Zuteilung bei der Darstellung der EUA-Kosten berücksichtigt werden (&quot;ja&quot;) oder nicht (&quot;nein&quot;)." sqref="J17" xr:uid="{00000000-0002-0000-0400-000004000000}">
      <formula1>"ja,nein"</formula1>
    </dataValidation>
    <dataValidation allowBlank="1" showInputMessage="1" showErrorMessage="1" prompt="Hier können verschiedene Preisannahmen für Einzelvariablen hinterlegt werden und die Auswirkung auf die Transformationskosten werden direkt im Diagramm visualisiert." sqref="R54:R56" xr:uid="{00000000-0002-0000-0400-000005000000}"/>
    <dataValidation allowBlank="1" showInputMessage="1" showErrorMessage="1" prompt="Hier können abweichende Brennstoffzusammensetzungen angegeben werden._x000a_Bitte geben Sie die Anteile prozentual so an, dass die Summe aller Brennstoffe auf 100% kommt." sqref="U54:U62" xr:uid="{00000000-0002-0000-0400-000006000000}"/>
    <dataValidation type="list" allowBlank="1" showInputMessage="1" showErrorMessage="1" prompt="Bitte wählen Sie für welche Technologie die Differenzkosten im Diagramm angezeigt werden sollen." sqref="Z18:AA18" xr:uid="{00000000-0002-0000-0400-000007000000}">
      <formula1>$Z$14:$AA$14</formula1>
    </dataValidation>
    <dataValidation type="list" allowBlank="1" showInputMessage="1" showErrorMessage="1" sqref="O57" xr:uid="{F5A48086-5314-4B81-A044-40B73813F28D}">
      <formula1>"Schiff,Pipeline"</formula1>
    </dataValidation>
    <dataValidation type="list" allowBlank="1" showInputMessage="1" showErrorMessage="1" sqref="J18" xr:uid="{0E7EDF58-D199-4DD4-B7AA-AAC74D88DFF3}">
      <formula1>"ja, nein"</formula1>
    </dataValidation>
  </dataValidations>
  <pageMargins left="0.7" right="0.7" top="0.75" bottom="0.75" header="0.3" footer="0.3"/>
  <pageSetup orientation="portrait" verticalDpi="601" r:id="rId1"/>
  <drawing r:id="rId2"/>
  <extLst>
    <ext xmlns:x14="http://schemas.microsoft.com/office/spreadsheetml/2009/9/main" uri="{CCE6A557-97BC-4b89-ADB6-D9C93CAAB3DF}">
      <x14:dataValidations xmlns:xm="http://schemas.microsoft.com/office/excel/2006/main" xWindow="665" yWindow="357" count="1">
        <x14:dataValidation type="list" allowBlank="1" showInputMessage="1" showErrorMessage="1" prompt="Bitte wählen Sie aus, welche Kostenbestandteile in dem Diagramm berücksichtigt werden sollen (nur OPEX oder CAPEX und OPEX)" xr:uid="{00000000-0002-0000-0400-000008000000}">
          <x14:formula1>
            <xm:f>Diagrammtabelle!$P$9:$P$10</xm:f>
          </x14:formula1>
          <xm:sqref>E17:F17</xm:sqref>
        </x14:dataValidation>
      </x14:dataValidations>
    </ex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T42"/>
  <sheetViews>
    <sheetView zoomScale="115" zoomScaleNormal="115" zoomScalePageLayoutView="115" workbookViewId="0">
      <selection activeCell="J40" sqref="J40"/>
    </sheetView>
  </sheetViews>
  <sheetFormatPr baseColWidth="10" defaultColWidth="9.3984375" defaultRowHeight="13.2"/>
  <cols>
    <col min="1" max="2" width="3.09765625" style="16" customWidth="1"/>
    <col min="3" max="3" width="33.3984375" style="16" customWidth="1"/>
    <col min="4" max="4" width="9.3984375" style="16"/>
    <col min="5" max="5" width="9.3984375" style="16" customWidth="1"/>
    <col min="6" max="6" width="8.09765625" style="16" bestFit="1" customWidth="1"/>
    <col min="7" max="15" width="9.3984375" style="16"/>
    <col min="16" max="16" width="11.59765625" style="16" customWidth="1"/>
    <col min="17" max="17" width="3" style="16" customWidth="1"/>
    <col min="18" max="16384" width="9.3984375" style="16"/>
  </cols>
  <sheetData>
    <row r="2" spans="2:17">
      <c r="B2" s="39"/>
      <c r="C2" s="39"/>
      <c r="D2" s="40"/>
      <c r="E2" s="40"/>
      <c r="F2" s="40"/>
      <c r="G2" s="39"/>
      <c r="H2" s="39"/>
      <c r="I2" s="39"/>
      <c r="J2" s="39"/>
      <c r="K2" s="39"/>
      <c r="L2" s="39"/>
      <c r="M2" s="39"/>
      <c r="N2" s="41"/>
      <c r="O2" s="39"/>
      <c r="P2" s="12"/>
      <c r="Q2" s="12"/>
    </row>
    <row r="3" spans="2:17">
      <c r="B3" s="39"/>
      <c r="C3" s="39"/>
      <c r="D3" s="40"/>
      <c r="E3" s="40"/>
      <c r="F3" s="40"/>
      <c r="G3" s="39"/>
      <c r="H3" s="39"/>
      <c r="I3" s="39"/>
      <c r="J3" s="39"/>
      <c r="K3" s="39"/>
      <c r="L3" s="39"/>
      <c r="M3" s="39"/>
      <c r="N3" s="41"/>
      <c r="O3" s="39"/>
      <c r="P3" s="12"/>
      <c r="Q3" s="12"/>
    </row>
    <row r="4" spans="2:17" ht="17.399999999999999">
      <c r="B4" s="39"/>
      <c r="C4" s="42" t="s">
        <v>223</v>
      </c>
      <c r="D4" s="40"/>
      <c r="E4" s="40"/>
      <c r="F4" s="40"/>
      <c r="G4" s="39"/>
      <c r="H4" s="39"/>
      <c r="I4" s="39"/>
      <c r="J4" s="39"/>
      <c r="K4" s="39"/>
      <c r="L4" s="39"/>
      <c r="M4" s="39"/>
      <c r="N4" s="41"/>
      <c r="O4" s="39"/>
      <c r="P4" s="12"/>
      <c r="Q4" s="12"/>
    </row>
    <row r="5" spans="2:17" ht="14.1" customHeight="1">
      <c r="B5" s="39"/>
      <c r="C5" s="43"/>
      <c r="D5" s="44"/>
      <c r="E5" s="44"/>
      <c r="F5" s="44"/>
      <c r="G5" s="45"/>
      <c r="H5" s="45"/>
      <c r="I5" s="45"/>
      <c r="J5" s="45"/>
      <c r="K5" s="45"/>
      <c r="L5" s="45"/>
      <c r="M5" s="45"/>
      <c r="N5" s="46"/>
      <c r="O5" s="12"/>
      <c r="P5" s="12"/>
      <c r="Q5" s="12"/>
    </row>
    <row r="6" spans="2:17">
      <c r="B6" s="12"/>
      <c r="C6" s="47"/>
      <c r="D6" s="47"/>
      <c r="E6" s="47"/>
      <c r="F6" s="47"/>
      <c r="G6" s="47"/>
      <c r="H6" s="47"/>
      <c r="I6" s="47"/>
      <c r="J6" s="47"/>
      <c r="K6" s="47"/>
      <c r="L6" s="47"/>
      <c r="M6" s="47"/>
      <c r="N6" s="47"/>
      <c r="O6" s="47"/>
      <c r="P6" s="47"/>
      <c r="Q6" s="12"/>
    </row>
    <row r="7" spans="2:17" ht="17.399999999999999">
      <c r="B7" s="12"/>
      <c r="C7" s="73" t="s">
        <v>104</v>
      </c>
      <c r="D7" s="12"/>
      <c r="E7" s="12"/>
      <c r="F7" s="12"/>
      <c r="G7" s="12"/>
      <c r="H7" s="12"/>
      <c r="I7" s="12"/>
      <c r="J7" s="12"/>
      <c r="K7" s="12"/>
      <c r="L7" s="12"/>
      <c r="M7" s="12"/>
      <c r="N7" s="12"/>
      <c r="O7" s="12"/>
      <c r="P7" s="12"/>
      <c r="Q7" s="12"/>
    </row>
    <row r="8" spans="2:17" s="74" customFormat="1">
      <c r="B8" s="36"/>
      <c r="C8" s="75" t="s">
        <v>94</v>
      </c>
      <c r="D8" s="75" t="s">
        <v>92</v>
      </c>
      <c r="E8" s="75" t="s">
        <v>102</v>
      </c>
      <c r="F8" s="75" t="s">
        <v>103</v>
      </c>
      <c r="G8" s="75"/>
      <c r="H8" s="75" t="s">
        <v>92</v>
      </c>
      <c r="I8" s="75" t="s">
        <v>102</v>
      </c>
      <c r="J8" s="75" t="s">
        <v>103</v>
      </c>
      <c r="K8" s="75"/>
      <c r="L8" s="75" t="s">
        <v>92</v>
      </c>
      <c r="M8" s="75" t="s">
        <v>102</v>
      </c>
      <c r="N8" s="75" t="s">
        <v>103</v>
      </c>
      <c r="O8" s="36"/>
      <c r="P8" s="36"/>
      <c r="Q8" s="36"/>
    </row>
    <row r="9" spans="2:17" s="439" customFormat="1">
      <c r="B9" s="440"/>
      <c r="C9" s="440" t="str">
        <f>IF(Ergebnisse!$E$17=Diagrammtabelle!P10,"","CAPEX")</f>
        <v>CAPEX</v>
      </c>
      <c r="D9" s="441">
        <f>IF(Ergebnisse!$E$17=Diagrammtabelle!P10,0,H9)</f>
        <v>32.340000000000003</v>
      </c>
      <c r="E9" s="441">
        <f>IF(Ergebnisse!$E$17=Diagrammtabelle!P10,0,I9)</f>
        <v>40.599999999999994</v>
      </c>
      <c r="F9" s="441">
        <f>IF(Ergebnisse!$E$17=Diagrammtabelle!P10,0,J9)</f>
        <v>35.07</v>
      </c>
      <c r="G9" s="440"/>
      <c r="H9" s="542">
        <f>Rechner!R32</f>
        <v>32.340000000000003</v>
      </c>
      <c r="I9" s="440">
        <f>Rechner!AC32</f>
        <v>40.599999999999994</v>
      </c>
      <c r="J9" s="440">
        <f>Rechner!AN32</f>
        <v>35.07</v>
      </c>
      <c r="K9" s="440"/>
      <c r="L9" s="440"/>
      <c r="M9" s="440"/>
      <c r="N9" s="440"/>
      <c r="O9" s="440"/>
      <c r="P9" s="440" t="s">
        <v>107</v>
      </c>
      <c r="Q9" s="440"/>
    </row>
    <row r="10" spans="2:17" s="439" customFormat="1">
      <c r="B10" s="440"/>
      <c r="C10" s="440" t="s">
        <v>83</v>
      </c>
      <c r="D10" s="441">
        <f>Rechner!R26</f>
        <v>36.247634898775516</v>
      </c>
      <c r="E10" s="441">
        <f>Rechner!AC26</f>
        <v>76.74815650444836</v>
      </c>
      <c r="F10" s="441">
        <f>Rechner!AN26</f>
        <v>95.811741574225536</v>
      </c>
      <c r="G10" s="440"/>
      <c r="H10" s="440"/>
      <c r="I10" s="440"/>
      <c r="J10" s="440"/>
      <c r="K10" s="440"/>
      <c r="L10" s="440"/>
      <c r="M10" s="440"/>
      <c r="N10" s="440"/>
      <c r="O10" s="440"/>
      <c r="P10" s="440" t="s">
        <v>111</v>
      </c>
      <c r="Q10" s="440"/>
    </row>
    <row r="11" spans="2:17" s="439" customFormat="1">
      <c r="B11" s="440"/>
      <c r="C11" s="440" t="str">
        <f>CONCATENATE("Wert CO2-Zertifikate (bei ",Rechner!J34,"€/EUA)")</f>
        <v>Wert CO2-Zertifikate (bei 50€/EUA)</v>
      </c>
      <c r="D11" s="441">
        <f>IF(Ergebnisse!$J$17="ja",Diagrammtabelle!L11,Diagrammtabelle!H11)</f>
        <v>38.259980000000006</v>
      </c>
      <c r="E11" s="441">
        <f>IF(Ergebnisse!$J$17="ja",Diagrammtabelle!M11,Diagrammtabelle!I11)</f>
        <v>3.8259979999999971</v>
      </c>
      <c r="F11" s="441">
        <f>IF(Ergebnisse!$J$17="ja",Diagrammtabelle!N11,Diagrammtabelle!J11)</f>
        <v>7.7355666666666654</v>
      </c>
      <c r="G11" s="440"/>
      <c r="H11" s="543">
        <f>Rechner!R47</f>
        <v>38.259980000000006</v>
      </c>
      <c r="I11" s="543">
        <f>Rechner!AC47</f>
        <v>3.8259979999999971</v>
      </c>
      <c r="J11" s="543">
        <f>Rechner!AN47</f>
        <v>7.7355666666666654</v>
      </c>
      <c r="K11" s="543"/>
      <c r="L11" s="543">
        <f>SUM(Rechner!R47:R53)</f>
        <v>4.8933133333333387</v>
      </c>
      <c r="M11" s="543">
        <f>SUM(Rechner!AC47:AC51)</f>
        <v>-29.540668666666669</v>
      </c>
      <c r="N11" s="543">
        <f>SUM(Rechner!AN47:AN53)</f>
        <v>-25.631100000000004</v>
      </c>
      <c r="O11" s="440"/>
      <c r="P11" s="440"/>
      <c r="Q11" s="440"/>
    </row>
    <row r="12" spans="2:17" s="439" customFormat="1">
      <c r="B12" s="440"/>
      <c r="C12" s="440" t="str">
        <f>CONCATENATE("Gutschrift CO2-Senkenzertifikate (bei ",Rechner!J36,"€/EUA)")</f>
        <v>Gutschrift CO2-Senkenzertifikate (bei 0€/EUA)</v>
      </c>
      <c r="D12" s="441">
        <v>0</v>
      </c>
      <c r="E12" s="441">
        <f>Rechner!AC53</f>
        <v>0</v>
      </c>
      <c r="F12" s="441">
        <v>0</v>
      </c>
      <c r="G12" s="440"/>
      <c r="H12" s="543"/>
      <c r="I12" s="543"/>
      <c r="J12" s="543"/>
      <c r="K12" s="543"/>
      <c r="L12" s="543"/>
      <c r="M12" s="543"/>
      <c r="N12" s="543"/>
      <c r="O12" s="440"/>
      <c r="P12" s="440"/>
      <c r="Q12" s="440"/>
    </row>
    <row r="13" spans="2:17" s="439" customFormat="1">
      <c r="B13" s="440"/>
      <c r="C13" s="440" t="s">
        <v>105</v>
      </c>
      <c r="D13" s="441">
        <f>SUM(D9:D12)</f>
        <v>106.84761489877553</v>
      </c>
      <c r="E13" s="441">
        <f>SUM(E9:E12)</f>
        <v>121.17415450444835</v>
      </c>
      <c r="F13" s="441">
        <f>SUM(F9:F12)</f>
        <v>138.61730824089221</v>
      </c>
      <c r="G13" s="440"/>
      <c r="H13" s="440"/>
      <c r="I13" s="440"/>
      <c r="J13" s="440"/>
      <c r="K13" s="440"/>
      <c r="L13" s="440"/>
      <c r="M13" s="440"/>
      <c r="N13" s="440"/>
      <c r="O13" s="440"/>
      <c r="P13" s="440"/>
      <c r="Q13" s="440"/>
    </row>
    <row r="14" spans="2:17" s="439" customFormat="1">
      <c r="B14" s="440"/>
      <c r="C14" s="440"/>
      <c r="D14" s="440"/>
      <c r="E14" s="440"/>
      <c r="F14" s="440"/>
      <c r="G14" s="440"/>
      <c r="H14" s="440"/>
      <c r="I14" s="440"/>
      <c r="J14" s="440"/>
      <c r="K14" s="440"/>
      <c r="L14" s="440"/>
      <c r="M14" s="440"/>
      <c r="N14" s="440"/>
      <c r="O14" s="440"/>
      <c r="P14" s="440"/>
      <c r="Q14" s="440"/>
    </row>
    <row r="15" spans="2:17" s="439" customFormat="1" ht="17.399999999999999">
      <c r="B15" s="440"/>
      <c r="C15" s="73" t="s">
        <v>225</v>
      </c>
      <c r="D15" s="440"/>
      <c r="E15" s="440"/>
      <c r="F15" s="440"/>
      <c r="G15" s="440"/>
      <c r="H15" s="440"/>
      <c r="I15" s="440"/>
      <c r="J15" s="440"/>
      <c r="K15" s="440"/>
      <c r="L15" s="440"/>
      <c r="M15" s="440"/>
      <c r="N15" s="440"/>
      <c r="O15" s="440"/>
      <c r="P15" s="440"/>
      <c r="Q15" s="440"/>
    </row>
    <row r="16" spans="2:17" s="444" customFormat="1">
      <c r="B16" s="442"/>
      <c r="C16" s="443" t="s">
        <v>114</v>
      </c>
      <c r="D16" s="443" t="s">
        <v>92</v>
      </c>
      <c r="E16" s="443" t="s">
        <v>102</v>
      </c>
      <c r="F16" s="443" t="s">
        <v>103</v>
      </c>
      <c r="G16" s="443"/>
      <c r="H16" s="443" t="s">
        <v>102</v>
      </c>
      <c r="I16" s="443" t="s">
        <v>103</v>
      </c>
      <c r="J16" s="442"/>
      <c r="K16" s="442"/>
      <c r="L16" s="442"/>
      <c r="M16" s="442"/>
      <c r="N16" s="442"/>
      <c r="O16" s="442"/>
      <c r="P16" s="442"/>
      <c r="Q16" s="442"/>
    </row>
    <row r="17" spans="2:17" s="439" customFormat="1">
      <c r="B17" s="440"/>
      <c r="C17" s="440" t="s">
        <v>39</v>
      </c>
      <c r="D17" s="445">
        <f>Rechner!R9</f>
        <v>8</v>
      </c>
      <c r="E17" s="445">
        <f>Rechner!AC9</f>
        <v>8</v>
      </c>
      <c r="F17" s="445">
        <f>Rechner!AN9</f>
        <v>8</v>
      </c>
      <c r="G17" s="440"/>
      <c r="H17" s="445">
        <f t="shared" ref="H17:H22" si="0">(E17-D17)/$E$29</f>
        <v>0</v>
      </c>
      <c r="I17" s="445">
        <f t="shared" ref="I17:I22" si="1">(F17-D17)/$F$29</f>
        <v>0</v>
      </c>
      <c r="J17" s="440"/>
      <c r="K17" s="440"/>
      <c r="L17" s="440"/>
      <c r="M17" s="440"/>
      <c r="N17" s="440"/>
      <c r="O17" s="440"/>
      <c r="P17" s="440"/>
      <c r="Q17" s="440"/>
    </row>
    <row r="18" spans="2:17" s="439" customFormat="1">
      <c r="B18" s="440"/>
      <c r="C18" s="440" t="s">
        <v>9</v>
      </c>
      <c r="D18" s="445">
        <f>Rechner!R20</f>
        <v>0</v>
      </c>
      <c r="E18" s="445">
        <f>Rechner!AC20</f>
        <v>0</v>
      </c>
      <c r="F18" s="445">
        <f>Rechner!AN20</f>
        <v>0</v>
      </c>
      <c r="G18" s="440"/>
      <c r="H18" s="445">
        <f t="shared" si="0"/>
        <v>0</v>
      </c>
      <c r="I18" s="445">
        <f t="shared" si="1"/>
        <v>0</v>
      </c>
      <c r="J18" s="440"/>
      <c r="K18" s="440"/>
      <c r="L18" s="440"/>
      <c r="M18" s="440"/>
      <c r="N18" s="440"/>
      <c r="O18" s="440"/>
      <c r="P18" s="440"/>
      <c r="Q18" s="440"/>
    </row>
    <row r="19" spans="2:17" s="439" customFormat="1" ht="15.6">
      <c r="B19" s="440"/>
      <c r="C19" s="440" t="s">
        <v>398</v>
      </c>
      <c r="D19" s="445">
        <f>Rechner!R22</f>
        <v>0</v>
      </c>
      <c r="E19" s="445">
        <f>Rechner!AC22</f>
        <v>26.796415140000008</v>
      </c>
      <c r="F19" s="445">
        <f>Rechner!AN22</f>
        <v>16.95636</v>
      </c>
      <c r="G19" s="440"/>
      <c r="H19" s="445">
        <f t="shared" si="0"/>
        <v>38.909840778798113</v>
      </c>
      <c r="I19" s="445">
        <f t="shared" si="1"/>
        <v>27.77507926988277</v>
      </c>
      <c r="J19" s="440"/>
      <c r="K19" s="440"/>
      <c r="L19" s="440"/>
      <c r="M19" s="440"/>
      <c r="N19" s="440"/>
      <c r="O19" s="440"/>
      <c r="P19" s="440"/>
      <c r="Q19" s="440"/>
    </row>
    <row r="20" spans="2:17" s="439" customFormat="1">
      <c r="B20" s="440"/>
      <c r="C20" s="440"/>
      <c r="D20" s="445"/>
      <c r="E20" s="445"/>
      <c r="F20" s="445"/>
      <c r="G20" s="440"/>
      <c r="H20" s="445">
        <f t="shared" si="0"/>
        <v>0</v>
      </c>
      <c r="I20" s="445">
        <f t="shared" si="1"/>
        <v>0</v>
      </c>
      <c r="J20" s="440"/>
      <c r="K20" s="440"/>
      <c r="L20" s="440"/>
      <c r="M20" s="440"/>
      <c r="N20" s="440"/>
      <c r="O20" s="440"/>
      <c r="P20" s="440"/>
      <c r="Q20" s="440"/>
    </row>
    <row r="21" spans="2:17" s="439" customFormat="1">
      <c r="B21" s="440"/>
      <c r="C21" s="440" t="s">
        <v>24</v>
      </c>
      <c r="D21" s="445">
        <f>SUM(Rechner!R10:R18)</f>
        <v>3.8726348987755173</v>
      </c>
      <c r="E21" s="445">
        <f>SUM(Rechner!AC10:AC18)</f>
        <v>3.8726348987755173</v>
      </c>
      <c r="F21" s="445">
        <f>SUM(Rechner!AN10:AN18)</f>
        <v>1.8154910597868283</v>
      </c>
      <c r="G21" s="440"/>
      <c r="H21" s="445">
        <f t="shared" si="0"/>
        <v>0</v>
      </c>
      <c r="I21" s="445">
        <f t="shared" si="1"/>
        <v>-3.369669740289885</v>
      </c>
      <c r="J21" s="440"/>
      <c r="K21" s="440"/>
      <c r="L21" s="440"/>
      <c r="M21" s="440"/>
      <c r="N21" s="440"/>
      <c r="O21" s="440"/>
      <c r="P21" s="440"/>
      <c r="Q21" s="440"/>
    </row>
    <row r="22" spans="2:17" s="439" customFormat="1">
      <c r="B22" s="440"/>
      <c r="C22" s="440" t="s">
        <v>2</v>
      </c>
      <c r="D22" s="445">
        <f>Rechner!R19</f>
        <v>4.375</v>
      </c>
      <c r="E22" s="445">
        <f>Rechner!AC19</f>
        <v>13.384398188875002</v>
      </c>
      <c r="F22" s="445">
        <f>Rechner!AN19</f>
        <v>47.03989051443871</v>
      </c>
      <c r="G22" s="440"/>
      <c r="H22" s="445">
        <f t="shared" si="0"/>
        <v>13.082132337867575</v>
      </c>
      <c r="I22" s="445">
        <f t="shared" si="1"/>
        <v>69.886503711846444</v>
      </c>
      <c r="J22" s="440"/>
      <c r="K22" s="440"/>
      <c r="L22" s="440"/>
      <c r="M22" s="440"/>
      <c r="N22" s="440"/>
      <c r="O22" s="440"/>
      <c r="P22" s="440"/>
      <c r="Q22" s="440"/>
    </row>
    <row r="23" spans="2:17" s="439" customFormat="1">
      <c r="B23" s="440"/>
      <c r="C23" s="440" t="s">
        <v>112</v>
      </c>
      <c r="D23" s="445">
        <f>Rechner!R24</f>
        <v>20</v>
      </c>
      <c r="E23" s="445">
        <f>Rechner!AC24</f>
        <v>24.694708276797829</v>
      </c>
      <c r="F23" s="445">
        <f>Rechner!AN24</f>
        <v>22</v>
      </c>
      <c r="G23" s="440"/>
      <c r="H23" s="445">
        <f>(E23-D23)/$E$29</f>
        <v>6.8169697550487021</v>
      </c>
      <c r="I23" s="445">
        <f>(F23-D23)/$F$29</f>
        <v>3.2760662394385078</v>
      </c>
      <c r="J23" s="440"/>
      <c r="K23" s="440"/>
      <c r="L23" s="440"/>
      <c r="M23" s="440"/>
      <c r="N23" s="440"/>
      <c r="O23" s="440"/>
      <c r="P23" s="440"/>
      <c r="Q23" s="440"/>
    </row>
    <row r="24" spans="2:17">
      <c r="B24" s="12"/>
      <c r="C24" s="12"/>
      <c r="D24" s="12"/>
      <c r="E24" s="12"/>
      <c r="F24" s="12"/>
      <c r="G24" s="12"/>
      <c r="H24" s="12"/>
      <c r="I24" s="12"/>
      <c r="J24" s="12"/>
      <c r="K24" s="12"/>
      <c r="L24" s="12"/>
      <c r="M24" s="12"/>
      <c r="N24" s="12"/>
      <c r="O24" s="12"/>
      <c r="P24" s="12"/>
      <c r="Q24" s="12"/>
    </row>
    <row r="25" spans="2:17" ht="21">
      <c r="B25" s="12"/>
      <c r="C25" s="73" t="s">
        <v>389</v>
      </c>
      <c r="D25" s="12"/>
      <c r="E25" s="12"/>
      <c r="F25" s="12"/>
      <c r="G25" s="12"/>
      <c r="H25" s="12"/>
      <c r="I25" s="12"/>
      <c r="J25" s="12"/>
      <c r="K25" s="12"/>
      <c r="L25" s="12"/>
      <c r="M25" s="12"/>
      <c r="N25" s="12"/>
      <c r="O25" s="12"/>
      <c r="P25" s="12"/>
      <c r="Q25" s="12"/>
    </row>
    <row r="26" spans="2:17" s="74" customFormat="1">
      <c r="B26" s="36"/>
      <c r="C26" s="75"/>
      <c r="D26" s="75"/>
      <c r="E26" s="75" t="s">
        <v>102</v>
      </c>
      <c r="F26" s="75" t="s">
        <v>103</v>
      </c>
      <c r="G26" s="36"/>
      <c r="H26" s="36"/>
      <c r="I26" s="36"/>
      <c r="J26" s="36"/>
      <c r="K26" s="36"/>
      <c r="L26" s="36"/>
      <c r="M26" s="36"/>
      <c r="N26" s="36"/>
      <c r="O26" s="36"/>
      <c r="P26" s="36"/>
      <c r="Q26" s="36"/>
    </row>
    <row r="27" spans="2:17" ht="15.6">
      <c r="B27" s="12"/>
      <c r="C27" s="76" t="s">
        <v>396</v>
      </c>
      <c r="D27" s="76"/>
      <c r="E27" s="77">
        <f>Rechner!U47-Rechner!AF47</f>
        <v>0.68867964000000015</v>
      </c>
      <c r="F27" s="78">
        <f>Rechner!U47-Rechner!AQ47</f>
        <v>0.61048826666666678</v>
      </c>
      <c r="G27" s="12"/>
      <c r="H27" s="12"/>
      <c r="I27" s="12"/>
      <c r="J27" s="34"/>
      <c r="K27" s="34"/>
      <c r="L27" s="12"/>
      <c r="M27" s="12"/>
      <c r="N27" s="12"/>
      <c r="O27" s="12"/>
      <c r="P27" s="12"/>
      <c r="Q27" s="12"/>
    </row>
    <row r="28" spans="2:17" ht="15.6">
      <c r="B28" s="12"/>
      <c r="C28" s="12" t="s">
        <v>397</v>
      </c>
      <c r="D28" s="12"/>
      <c r="E28" s="33">
        <f>Rechner!AF45</f>
        <v>5.5665224999999999E-2</v>
      </c>
      <c r="F28" s="34">
        <f>Rechner!AQ45</f>
        <v>0</v>
      </c>
      <c r="G28" s="12"/>
      <c r="H28" s="12"/>
      <c r="I28" s="12"/>
      <c r="J28" s="34"/>
      <c r="K28" s="34"/>
      <c r="L28" s="12"/>
      <c r="M28" s="12"/>
      <c r="N28" s="12"/>
      <c r="O28" s="12"/>
      <c r="P28" s="12"/>
      <c r="Q28" s="12"/>
    </row>
    <row r="29" spans="2:17" ht="15.6">
      <c r="B29" s="12"/>
      <c r="C29" s="12" t="s">
        <v>395</v>
      </c>
      <c r="D29" s="12"/>
      <c r="E29" s="33">
        <f>IF(Ergebnisse!$U$19="berücksichtigt",SUM(E27:E28),E27)</f>
        <v>0.68867964000000015</v>
      </c>
      <c r="F29" s="33">
        <f>IF(Ergebnisse!$U$19="berücksichtigt",SUM(F27:F28),F27)</f>
        <v>0.61048826666666678</v>
      </c>
      <c r="G29" s="12"/>
      <c r="H29" s="12"/>
      <c r="I29" s="12"/>
      <c r="J29" s="34"/>
      <c r="K29" s="34"/>
      <c r="L29" s="12"/>
      <c r="M29" s="12"/>
      <c r="N29" s="12"/>
      <c r="O29" s="12"/>
      <c r="P29" s="12"/>
      <c r="Q29" s="12"/>
    </row>
    <row r="30" spans="2:17">
      <c r="B30" s="12"/>
      <c r="C30" s="12"/>
      <c r="D30" s="12"/>
      <c r="E30" s="12"/>
      <c r="F30" s="12"/>
      <c r="G30" s="12"/>
      <c r="H30" s="12"/>
      <c r="I30" s="12"/>
      <c r="J30" s="12"/>
      <c r="K30" s="12"/>
      <c r="L30" s="12"/>
      <c r="M30" s="12"/>
      <c r="N30" s="12"/>
      <c r="O30" s="12"/>
      <c r="P30" s="12"/>
      <c r="Q30" s="12"/>
    </row>
    <row r="31" spans="2:17" ht="15.6">
      <c r="B31" s="12"/>
      <c r="C31" s="12" t="s">
        <v>394</v>
      </c>
      <c r="D31" s="12"/>
      <c r="E31" s="12"/>
      <c r="F31" s="12"/>
      <c r="G31" s="12"/>
      <c r="H31" s="12"/>
      <c r="I31" s="12"/>
      <c r="J31" s="12"/>
      <c r="K31" s="12"/>
      <c r="L31" s="12"/>
      <c r="M31" s="12"/>
      <c r="N31" s="12"/>
      <c r="O31" s="12"/>
      <c r="P31" s="12"/>
      <c r="Q31" s="12"/>
    </row>
    <row r="32" spans="2:17">
      <c r="B32" s="12"/>
      <c r="C32" s="12" t="s">
        <v>89</v>
      </c>
      <c r="D32" s="12"/>
      <c r="E32" s="32">
        <f>(E9-D9)/E29</f>
        <v>11.993965728390037</v>
      </c>
      <c r="F32" s="32">
        <f>(F9-D9)/F29</f>
        <v>4.4718304168335585</v>
      </c>
      <c r="G32" s="12"/>
      <c r="H32" s="12"/>
      <c r="I32" s="12"/>
      <c r="J32" s="12"/>
      <c r="K32" s="12"/>
      <c r="L32" s="12"/>
      <c r="M32" s="12"/>
      <c r="N32" s="12"/>
      <c r="O32" s="12"/>
      <c r="P32" s="12"/>
      <c r="Q32" s="12"/>
    </row>
    <row r="33" spans="2:20">
      <c r="B33" s="12"/>
      <c r="C33" s="12" t="s">
        <v>151</v>
      </c>
      <c r="D33" s="12"/>
      <c r="E33" s="32">
        <f>(E10-D10)/E29</f>
        <v>58.808942871714393</v>
      </c>
      <c r="F33" s="32">
        <f>(F10-D10)/F29</f>
        <v>97.567979480877838</v>
      </c>
      <c r="G33" s="12"/>
      <c r="H33" s="12"/>
      <c r="I33" s="12"/>
      <c r="J33" s="12"/>
      <c r="K33" s="12"/>
      <c r="L33" s="12"/>
      <c r="M33" s="12"/>
      <c r="N33" s="12"/>
      <c r="O33" s="12"/>
      <c r="P33" s="12"/>
      <c r="Q33" s="12"/>
    </row>
    <row r="34" spans="2:20">
      <c r="B34" s="12"/>
      <c r="C34" s="12"/>
      <c r="D34" s="12"/>
      <c r="E34" s="12"/>
      <c r="F34" s="12"/>
      <c r="G34" s="12"/>
      <c r="H34" s="12"/>
      <c r="I34" s="12"/>
      <c r="J34" s="12"/>
      <c r="K34" s="12"/>
      <c r="L34" s="12"/>
      <c r="M34" s="12"/>
      <c r="N34" s="12"/>
      <c r="O34" s="12"/>
      <c r="P34" s="12"/>
      <c r="Q34" s="12"/>
    </row>
    <row r="35" spans="2:20" ht="17.399999999999999">
      <c r="B35" s="12"/>
      <c r="C35" s="73" t="s">
        <v>388</v>
      </c>
      <c r="D35" s="12"/>
      <c r="E35" s="12"/>
      <c r="F35" s="12"/>
      <c r="G35" s="12"/>
      <c r="H35" s="12"/>
      <c r="I35" s="12"/>
      <c r="J35" s="12"/>
      <c r="K35" s="12"/>
      <c r="L35" s="12"/>
      <c r="M35" s="12"/>
      <c r="N35" s="12"/>
      <c r="O35" s="12"/>
      <c r="P35" s="12"/>
      <c r="Q35" s="12"/>
    </row>
    <row r="36" spans="2:20" s="74" customFormat="1">
      <c r="B36" s="36"/>
      <c r="C36" s="75" t="str">
        <f>Ergebnisse!Z18</f>
        <v>Oxyfuel</v>
      </c>
      <c r="D36" s="75"/>
      <c r="E36" s="75"/>
      <c r="F36" s="75"/>
      <c r="G36" s="75"/>
      <c r="H36" s="75" t="s">
        <v>102</v>
      </c>
      <c r="I36" s="75"/>
      <c r="J36" s="75"/>
      <c r="K36" s="75"/>
      <c r="L36" s="75"/>
      <c r="M36" s="75" t="s">
        <v>103</v>
      </c>
      <c r="N36" s="75"/>
      <c r="O36" s="75"/>
      <c r="P36" s="75"/>
      <c r="Q36" s="36"/>
      <c r="R36" s="16"/>
      <c r="S36" s="16"/>
      <c r="T36" s="16"/>
    </row>
    <row r="37" spans="2:20">
      <c r="B37" s="12"/>
      <c r="C37" s="76"/>
      <c r="D37" s="79">
        <f t="shared" ref="D37:F40" si="2">IF($C$36=$H$36,I37,N37)</f>
        <v>0</v>
      </c>
      <c r="E37" s="79">
        <f t="shared" si="2"/>
        <v>58.808942871714393</v>
      </c>
      <c r="F37" s="79">
        <f t="shared" si="2"/>
        <v>70.802908600104431</v>
      </c>
      <c r="G37" s="76"/>
      <c r="H37" s="76"/>
      <c r="I37" s="76">
        <v>0</v>
      </c>
      <c r="J37" s="292">
        <f>Ergebnisse!$Z$15</f>
        <v>58.808942871714393</v>
      </c>
      <c r="K37" s="79">
        <f>Ergebnisse!P18</f>
        <v>70.802908600104431</v>
      </c>
      <c r="L37" s="76"/>
      <c r="M37" s="76"/>
      <c r="N37" s="76">
        <v>0</v>
      </c>
      <c r="O37" s="292">
        <f>Ergebnisse!$AA$15</f>
        <v>97.567979480877838</v>
      </c>
      <c r="P37" s="79">
        <f>Ergebnisse!Q18</f>
        <v>102.03980989771139</v>
      </c>
      <c r="Q37" s="12"/>
    </row>
    <row r="38" spans="2:20">
      <c r="B38" s="12"/>
      <c r="C38" s="12" t="s">
        <v>89</v>
      </c>
      <c r="D38" s="79">
        <f t="shared" si="2"/>
        <v>11.993965728390037</v>
      </c>
      <c r="E38" s="79">
        <f>IF($C$36=$H$36,J38,O38)</f>
        <v>11.993965728390037</v>
      </c>
      <c r="F38" s="79">
        <f t="shared" si="2"/>
        <v>0</v>
      </c>
      <c r="G38" s="31"/>
      <c r="H38" s="12" t="s">
        <v>89</v>
      </c>
      <c r="I38" s="31">
        <f>E32</f>
        <v>11.993965728390037</v>
      </c>
      <c r="J38" s="31">
        <f>I38</f>
        <v>11.993965728390037</v>
      </c>
      <c r="K38" s="31">
        <v>0</v>
      </c>
      <c r="L38" s="31"/>
      <c r="M38" s="12" t="s">
        <v>89</v>
      </c>
      <c r="N38" s="31">
        <f>F32</f>
        <v>4.4718304168335585</v>
      </c>
      <c r="O38" s="31">
        <f>N38</f>
        <v>4.4718304168335585</v>
      </c>
      <c r="P38" s="31">
        <v>0</v>
      </c>
      <c r="Q38" s="12"/>
    </row>
    <row r="39" spans="2:20">
      <c r="B39" s="12"/>
      <c r="C39" s="12" t="s">
        <v>83</v>
      </c>
      <c r="D39" s="79">
        <f t="shared" si="2"/>
        <v>58.808942871714393</v>
      </c>
      <c r="E39" s="79">
        <f t="shared" si="2"/>
        <v>0</v>
      </c>
      <c r="F39" s="79">
        <f t="shared" si="2"/>
        <v>0</v>
      </c>
      <c r="G39" s="31"/>
      <c r="H39" s="12" t="s">
        <v>83</v>
      </c>
      <c r="I39" s="31">
        <f>E33</f>
        <v>58.808942871714393</v>
      </c>
      <c r="J39" s="31">
        <v>0</v>
      </c>
      <c r="K39" s="31">
        <v>0</v>
      </c>
      <c r="L39" s="31"/>
      <c r="M39" s="12" t="s">
        <v>83</v>
      </c>
      <c r="N39" s="31">
        <f>F33</f>
        <v>97.567979480877838</v>
      </c>
      <c r="O39" s="31">
        <v>0</v>
      </c>
      <c r="P39" s="31">
        <v>0</v>
      </c>
      <c r="Q39" s="12"/>
    </row>
    <row r="40" spans="2:20">
      <c r="B40" s="12"/>
      <c r="C40" s="12" t="s">
        <v>113</v>
      </c>
      <c r="D40" s="79">
        <f t="shared" si="2"/>
        <v>0</v>
      </c>
      <c r="E40" s="79">
        <f t="shared" si="2"/>
        <v>0</v>
      </c>
      <c r="F40" s="79">
        <f t="shared" si="2"/>
        <v>0</v>
      </c>
      <c r="G40" s="31"/>
      <c r="H40" s="12" t="s">
        <v>113</v>
      </c>
      <c r="I40" s="31">
        <v>0</v>
      </c>
      <c r="J40" s="490">
        <f>(Rechner!$AC$51-Rechner!$R$51)/Rechner!$J$51*Diagrammtabelle!J37</f>
        <v>0</v>
      </c>
      <c r="K40" s="490">
        <f>(Rechner!$AC$51-Rechner!$R$51)/Rechner!$J$51*Diagrammtabelle!K37</f>
        <v>0</v>
      </c>
      <c r="L40" s="31"/>
      <c r="M40" s="12" t="s">
        <v>113</v>
      </c>
      <c r="N40" s="31">
        <v>0</v>
      </c>
      <c r="O40" s="490">
        <f>(SUM(Rechner!$AN$51)-SUM(Rechner!$R$51))/Rechner!$J$51*Diagrammtabelle!O37</f>
        <v>0</v>
      </c>
      <c r="P40" s="490">
        <f>(SUM(Rechner!$AN$51)-SUM(Rechner!$R$51))/Rechner!$J$51*Diagrammtabelle!P37</f>
        <v>0</v>
      </c>
      <c r="Q40" s="12"/>
    </row>
    <row r="41" spans="2:20">
      <c r="B41" s="12"/>
      <c r="C41" s="12"/>
      <c r="D41" s="12"/>
      <c r="E41" s="12"/>
      <c r="F41" s="12"/>
      <c r="G41" s="12"/>
      <c r="H41" s="12"/>
      <c r="I41" s="12"/>
      <c r="J41" s="12"/>
      <c r="K41" s="12"/>
      <c r="L41" s="12"/>
      <c r="M41" s="12"/>
      <c r="N41" s="12"/>
      <c r="O41" s="12"/>
      <c r="P41" s="12"/>
      <c r="Q41" s="12"/>
    </row>
    <row r="42" spans="2:20">
      <c r="B42" s="12"/>
      <c r="C42" s="12"/>
      <c r="D42" s="12"/>
      <c r="E42" s="12"/>
      <c r="F42" s="12"/>
      <c r="G42" s="12"/>
      <c r="H42" s="12"/>
      <c r="I42" s="12"/>
      <c r="J42" s="12"/>
      <c r="K42" s="12"/>
      <c r="L42" s="12"/>
      <c r="M42" s="12"/>
      <c r="N42" s="12"/>
      <c r="O42" s="12"/>
      <c r="P42" s="12"/>
      <c r="Q42" s="12"/>
    </row>
  </sheetData>
  <conditionalFormatting sqref="C8:N13 C16:I23 M36:P40 H36:K40 C36:F40">
    <cfRule type="expression" dxfId="18" priority="6">
      <formula>MOD(ROW(),2)=0</formula>
    </cfRule>
  </conditionalFormatting>
  <conditionalFormatting sqref="C26:F33">
    <cfRule type="expression" dxfId="17" priority="4">
      <formula>MOD(ROW(),2)=0</formula>
    </cfRule>
  </conditionalFormatting>
  <conditionalFormatting sqref="G36:G40">
    <cfRule type="expression" dxfId="16" priority="2">
      <formula>MOD(ROW(),2)=0</formula>
    </cfRule>
  </conditionalFormatting>
  <conditionalFormatting sqref="L36:L40">
    <cfRule type="expression" dxfId="15" priority="1">
      <formula>MOD(ROW(),2)=0</formula>
    </cfRule>
  </conditionalFormatting>
  <pageMargins left="0.7" right="0.7" top="0.75" bottom="0.75" header="0.3" footer="0.3"/>
  <pageSetup orientation="portrait" verticalDpi="601"/>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A969DD-FA8C-4EAA-ACA8-43E37D2388D2}">
  <dimension ref="A2:AW135"/>
  <sheetViews>
    <sheetView zoomScale="90" zoomScaleNormal="90" workbookViewId="0">
      <selection activeCell="AE28" sqref="AE28"/>
    </sheetView>
  </sheetViews>
  <sheetFormatPr baseColWidth="10" defaultRowHeight="13.8"/>
  <cols>
    <col min="1" max="1" width="31.296875" customWidth="1"/>
    <col min="2" max="2" width="28" bestFit="1" customWidth="1"/>
    <col min="3" max="3" width="2.296875" customWidth="1"/>
    <col min="4" max="13" width="5.69921875" customWidth="1"/>
    <col min="14" max="28" width="6.296875" customWidth="1"/>
    <col min="30" max="30" width="2.59765625" customWidth="1"/>
    <col min="32" max="32" width="39.59765625" bestFit="1" customWidth="1"/>
    <col min="33" max="33" width="23.3984375" bestFit="1" customWidth="1"/>
    <col min="35" max="35" width="25.8984375" bestFit="1" customWidth="1"/>
    <col min="36" max="36" width="15.5" customWidth="1"/>
    <col min="37" max="37" width="12.5" bestFit="1" customWidth="1"/>
    <col min="38" max="38" width="15.59765625" customWidth="1"/>
    <col min="39" max="39" width="19.8984375" bestFit="1" customWidth="1"/>
    <col min="40" max="40" width="16.3984375" customWidth="1"/>
    <col min="41" max="41" width="14.3984375" bestFit="1" customWidth="1"/>
    <col min="42" max="42" width="19" bestFit="1" customWidth="1"/>
    <col min="43" max="43" width="27" customWidth="1"/>
    <col min="44" max="44" width="6.3984375" bestFit="1" customWidth="1"/>
    <col min="45" max="45" width="12.5" bestFit="1" customWidth="1"/>
    <col min="46" max="46" width="33.09765625" bestFit="1" customWidth="1"/>
    <col min="47" max="47" width="6.3984375" bestFit="1" customWidth="1"/>
    <col min="48" max="48" width="12.5" bestFit="1" customWidth="1"/>
  </cols>
  <sheetData>
    <row r="2" spans="1:49">
      <c r="D2" s="572">
        <v>2021</v>
      </c>
      <c r="E2" s="572">
        <v>2022</v>
      </c>
      <c r="F2" s="572">
        <v>2023</v>
      </c>
      <c r="G2" s="572">
        <v>2024</v>
      </c>
      <c r="H2" s="572">
        <v>2025</v>
      </c>
      <c r="I2" s="572">
        <v>2026</v>
      </c>
      <c r="J2" s="572">
        <v>2027</v>
      </c>
      <c r="K2" s="572">
        <v>2028</v>
      </c>
      <c r="L2" s="572">
        <v>2029</v>
      </c>
      <c r="M2" s="572">
        <v>2030</v>
      </c>
      <c r="N2" s="572">
        <v>2031</v>
      </c>
      <c r="O2" s="572">
        <v>2032</v>
      </c>
      <c r="P2" s="572">
        <v>2033</v>
      </c>
      <c r="Q2" s="572">
        <v>2034</v>
      </c>
      <c r="R2" s="572">
        <v>2035</v>
      </c>
      <c r="S2" s="572">
        <v>2036</v>
      </c>
      <c r="T2" s="572">
        <v>2037</v>
      </c>
      <c r="U2" s="572">
        <v>2038</v>
      </c>
      <c r="V2" s="572">
        <v>2039</v>
      </c>
      <c r="W2" s="572">
        <v>2040</v>
      </c>
      <c r="X2" s="572">
        <v>2041</v>
      </c>
      <c r="Y2" s="572">
        <v>2042</v>
      </c>
      <c r="Z2" s="572">
        <v>2043</v>
      </c>
      <c r="AA2" s="572">
        <v>2044</v>
      </c>
      <c r="AB2" s="572">
        <v>2045</v>
      </c>
      <c r="AC2" s="572" t="s">
        <v>105</v>
      </c>
      <c r="AF2" t="s">
        <v>418</v>
      </c>
      <c r="AG2" s="573">
        <v>3</v>
      </c>
      <c r="AJ2" s="572" t="s">
        <v>419</v>
      </c>
      <c r="AL2" s="572" t="s">
        <v>420</v>
      </c>
      <c r="AN2" s="572" t="s">
        <v>421</v>
      </c>
      <c r="AQ2" s="572" t="s">
        <v>422</v>
      </c>
      <c r="AT2" s="572" t="s">
        <v>423</v>
      </c>
    </row>
    <row r="3" spans="1:49">
      <c r="A3" s="574" t="s">
        <v>424</v>
      </c>
      <c r="B3" s="575"/>
      <c r="C3" s="575"/>
      <c r="D3" s="575"/>
      <c r="E3" s="575"/>
      <c r="F3" s="575"/>
      <c r="G3" s="575"/>
      <c r="H3" s="575"/>
      <c r="I3" s="575"/>
      <c r="J3" s="575"/>
      <c r="K3" s="575"/>
      <c r="L3" s="575"/>
      <c r="M3" s="575"/>
      <c r="N3" s="575"/>
      <c r="O3" s="575"/>
      <c r="P3" s="575"/>
      <c r="Q3" s="575"/>
      <c r="R3" s="575"/>
      <c r="S3" s="575"/>
      <c r="T3" s="575"/>
      <c r="U3" s="575"/>
      <c r="V3" s="575"/>
      <c r="W3" s="575"/>
      <c r="X3" s="575"/>
      <c r="Y3" s="575"/>
      <c r="Z3" s="575"/>
      <c r="AA3" s="575"/>
      <c r="AB3" s="575"/>
      <c r="AC3" s="575"/>
      <c r="AD3" s="576"/>
      <c r="AF3" t="s">
        <v>425</v>
      </c>
      <c r="AG3" s="577">
        <v>0.5</v>
      </c>
      <c r="AJ3" s="573" t="s">
        <v>426</v>
      </c>
      <c r="AL3" s="573" t="s">
        <v>426</v>
      </c>
      <c r="AN3" s="573" t="s">
        <v>426</v>
      </c>
    </row>
    <row r="4" spans="1:49">
      <c r="A4" s="578" t="s">
        <v>427</v>
      </c>
      <c r="B4" s="579"/>
      <c r="C4" s="579"/>
      <c r="D4" s="579">
        <v>0</v>
      </c>
      <c r="E4" s="579">
        <v>0</v>
      </c>
      <c r="F4" s="624">
        <f t="shared" ref="F4:W4" si="0">IF($AG$7-(F2-$F$2)&gt;0,$AG$9,0)</f>
        <v>0.5</v>
      </c>
      <c r="G4" s="579">
        <f t="shared" si="0"/>
        <v>0.5</v>
      </c>
      <c r="H4" s="579">
        <f t="shared" si="0"/>
        <v>0.5</v>
      </c>
      <c r="I4" s="579">
        <f t="shared" si="0"/>
        <v>0.5</v>
      </c>
      <c r="J4" s="579">
        <f t="shared" si="0"/>
        <v>0.5</v>
      </c>
      <c r="K4" s="579">
        <f t="shared" si="0"/>
        <v>0.5</v>
      </c>
      <c r="L4" s="579">
        <f t="shared" si="0"/>
        <v>0</v>
      </c>
      <c r="M4" s="579">
        <f t="shared" si="0"/>
        <v>0</v>
      </c>
      <c r="N4" s="579">
        <f t="shared" si="0"/>
        <v>0</v>
      </c>
      <c r="O4" s="579">
        <f t="shared" si="0"/>
        <v>0</v>
      </c>
      <c r="P4" s="579">
        <f t="shared" si="0"/>
        <v>0</v>
      </c>
      <c r="Q4" s="579">
        <f t="shared" si="0"/>
        <v>0</v>
      </c>
      <c r="R4" s="579">
        <f t="shared" si="0"/>
        <v>0</v>
      </c>
      <c r="S4" s="579">
        <f t="shared" si="0"/>
        <v>0</v>
      </c>
      <c r="T4" s="579">
        <f t="shared" si="0"/>
        <v>0</v>
      </c>
      <c r="U4" s="579">
        <f t="shared" si="0"/>
        <v>0</v>
      </c>
      <c r="V4" s="579">
        <f t="shared" si="0"/>
        <v>0</v>
      </c>
      <c r="W4" s="579">
        <f t="shared" si="0"/>
        <v>0</v>
      </c>
      <c r="X4" s="579"/>
      <c r="Y4" s="579"/>
      <c r="Z4" s="579"/>
      <c r="AA4" s="579"/>
      <c r="AB4" s="579"/>
      <c r="AC4" s="580">
        <f>SUM(D4:W4)</f>
        <v>3</v>
      </c>
      <c r="AD4" s="581"/>
      <c r="AF4" t="s">
        <v>428</v>
      </c>
      <c r="AG4" s="582">
        <f>1-AG3</f>
        <v>0.5</v>
      </c>
      <c r="AI4" t="s">
        <v>50</v>
      </c>
      <c r="AJ4" s="583">
        <f>HLOOKUP($AJ$3,'Daten Markthochlauf'!$C$24:$I$33,VLOOKUP($AI4,'Daten Markthochlauf'!$A$25:$B$33,2,FALSE),FALSE)</f>
        <v>2.2505389221556884</v>
      </c>
      <c r="AK4" s="291" t="s">
        <v>12</v>
      </c>
      <c r="AL4" s="583">
        <f>HLOOKUP($AL$3,'Daten Markthochlauf'!$C$13:$I$22,VLOOKUP($AI4,'Daten Markthochlauf'!$A$14:$B$22,2,FALSE),FALSE)</f>
        <v>0.67083333333333328</v>
      </c>
      <c r="AM4" t="s">
        <v>93</v>
      </c>
      <c r="AN4" s="583">
        <f>HLOOKUP($AN$3,'Daten Markthochlauf'!$C$2:$I$11,VLOOKUP($AI4,'Daten Markthochlauf'!A3:B11,2,FALSE),FALSE)</f>
        <v>0.67083333333333328</v>
      </c>
      <c r="AO4" t="s">
        <v>93</v>
      </c>
      <c r="AQ4" t="s">
        <v>429</v>
      </c>
      <c r="AR4" s="583">
        <f>'Bilanz Referenz'!D93</f>
        <v>231</v>
      </c>
      <c r="AS4" t="s">
        <v>90</v>
      </c>
      <c r="AT4" t="s">
        <v>430</v>
      </c>
      <c r="AU4" s="583">
        <f>'Bilanz Oxyfuel'!D79-'Bilanz Oxyfuel'!D90+Rechner!X31</f>
        <v>290</v>
      </c>
      <c r="AV4" t="s">
        <v>90</v>
      </c>
      <c r="AW4" s="583">
        <f>AU4-AR4</f>
        <v>59</v>
      </c>
    </row>
    <row r="5" spans="1:49">
      <c r="AG5" s="577" t="s">
        <v>515</v>
      </c>
      <c r="AI5" t="s">
        <v>25</v>
      </c>
      <c r="AJ5" s="583">
        <f>HLOOKUP($AJ$3,'Daten Markthochlauf'!$C$24:$I$33,VLOOKUP($AI5,'Daten Markthochlauf'!$A$25:$B$33,2,FALSE),FALSE)</f>
        <v>9.6480000000000015</v>
      </c>
      <c r="AK5" s="291" t="s">
        <v>8</v>
      </c>
      <c r="AL5" s="583">
        <f>HLOOKUP($AL$3,'Daten Markthochlauf'!$C$13:$I$22,VLOOKUP($AI5,'Daten Markthochlauf'!$A$14:$B$22,2,FALSE),FALSE)</f>
        <v>7.7777777777777779E-2</v>
      </c>
      <c r="AM5" t="s">
        <v>95</v>
      </c>
      <c r="AN5" s="583">
        <f>HLOOKUP($AN$3,'Daten Markthochlauf'!$C$2:$I$11,VLOOKUP($AI5,'Daten Markthochlauf'!A4:B12,2,FALSE),FALSE)</f>
        <v>7.7777777777777779E-2</v>
      </c>
      <c r="AO5" t="s">
        <v>95</v>
      </c>
      <c r="AT5" t="s">
        <v>431</v>
      </c>
      <c r="AU5" s="584">
        <f>'Bilanz Oxyfuel'!D83-'Bilanz Oxyfuel'!D90+Rechner!X31</f>
        <v>103.7</v>
      </c>
      <c r="AV5" t="s">
        <v>90</v>
      </c>
    </row>
    <row r="6" spans="1:49">
      <c r="A6" s="585" t="s">
        <v>432</v>
      </c>
      <c r="B6" s="586"/>
      <c r="C6" s="586"/>
      <c r="D6" s="586"/>
      <c r="E6" s="586"/>
      <c r="F6" s="586"/>
      <c r="G6" s="586"/>
      <c r="H6" s="586"/>
      <c r="I6" s="586"/>
      <c r="J6" s="586"/>
      <c r="K6" s="586"/>
      <c r="L6" s="586"/>
      <c r="M6" s="586"/>
      <c r="N6" s="586"/>
      <c r="O6" s="586"/>
      <c r="P6" s="586"/>
      <c r="Q6" s="586"/>
      <c r="R6" s="586"/>
      <c r="S6" s="586"/>
      <c r="T6" s="586"/>
      <c r="U6" s="586"/>
      <c r="V6" s="586"/>
      <c r="W6" s="586"/>
      <c r="X6" s="586"/>
      <c r="Y6" s="586"/>
      <c r="Z6" s="586"/>
      <c r="AA6" s="586"/>
      <c r="AB6" s="586"/>
      <c r="AC6" s="586"/>
      <c r="AD6" s="587"/>
      <c r="AI6" t="s">
        <v>26</v>
      </c>
      <c r="AJ6" s="583">
        <f>HLOOKUP($AJ$3,'Daten Markthochlauf'!$C$24:$I$33,VLOOKUP($AI6,'Daten Markthochlauf'!$A$25:$B$33,2,FALSE),FALSE)</f>
        <v>6.2</v>
      </c>
      <c r="AK6" s="291" t="s">
        <v>8</v>
      </c>
      <c r="AL6" s="583">
        <f>HLOOKUP($AL$3,'Daten Markthochlauf'!$C$13:$I$22,VLOOKUP($AI6,'Daten Markthochlauf'!$A$14:$B$22,2,FALSE),FALSE)</f>
        <v>0.18472222222222223</v>
      </c>
      <c r="AM6" t="s">
        <v>95</v>
      </c>
      <c r="AN6" s="583">
        <f>HLOOKUP($AN$3,'Daten Markthochlauf'!$C$2:$I$11,VLOOKUP($AI6,'Daten Markthochlauf'!A5:B13,2,FALSE),FALSE)</f>
        <v>0.18472222222222223</v>
      </c>
      <c r="AO6" t="s">
        <v>95</v>
      </c>
      <c r="AQ6" t="s">
        <v>514</v>
      </c>
      <c r="AT6" t="s">
        <v>514</v>
      </c>
    </row>
    <row r="7" spans="1:49">
      <c r="A7" s="588" t="s">
        <v>434</v>
      </c>
      <c r="D7">
        <v>0</v>
      </c>
      <c r="E7">
        <v>0</v>
      </c>
      <c r="F7">
        <f>IF($AG$5="CAPEX annualisiert",0,$F$4*($AG$3*($AU$4-$AR$4)+$AG$4*$AU$5))</f>
        <v>0</v>
      </c>
      <c r="G7">
        <v>0</v>
      </c>
      <c r="H7">
        <f t="shared" ref="H7:W7" si="1">IF($AG$5="CAPEX annualisiert",IF(H$2-$H$2&lt;$AG$8,H20*($AG$3*($AU$7-$AR$7)+$AG$4*$AU$8),0),0)</f>
        <v>5.6944999999999997</v>
      </c>
      <c r="I7">
        <f t="shared" si="1"/>
        <v>5.6944999999999997</v>
      </c>
      <c r="J7">
        <f t="shared" si="1"/>
        <v>5.6944999999999997</v>
      </c>
      <c r="K7">
        <f t="shared" si="1"/>
        <v>5.6944999999999997</v>
      </c>
      <c r="L7">
        <f t="shared" si="1"/>
        <v>5.6944999999999997</v>
      </c>
      <c r="M7">
        <f t="shared" si="1"/>
        <v>5.6944999999999997</v>
      </c>
      <c r="N7">
        <f t="shared" si="1"/>
        <v>5.6944999999999997</v>
      </c>
      <c r="O7">
        <f t="shared" si="1"/>
        <v>5.6944999999999997</v>
      </c>
      <c r="P7">
        <f t="shared" si="1"/>
        <v>5.6944999999999997</v>
      </c>
      <c r="Q7">
        <f t="shared" si="1"/>
        <v>5.6944999999999997</v>
      </c>
      <c r="R7">
        <f t="shared" si="1"/>
        <v>0</v>
      </c>
      <c r="S7">
        <f t="shared" si="1"/>
        <v>0</v>
      </c>
      <c r="T7">
        <f t="shared" si="1"/>
        <v>0</v>
      </c>
      <c r="U7">
        <f t="shared" si="1"/>
        <v>0</v>
      </c>
      <c r="V7">
        <f t="shared" si="1"/>
        <v>0</v>
      </c>
      <c r="W7">
        <f t="shared" si="1"/>
        <v>0</v>
      </c>
      <c r="AC7" s="584">
        <f>SUM(D7:W7)</f>
        <v>56.944999999999986</v>
      </c>
      <c r="AD7" s="589"/>
      <c r="AF7" t="s">
        <v>433</v>
      </c>
      <c r="AG7" s="573">
        <v>6</v>
      </c>
      <c r="AI7" t="s">
        <v>27</v>
      </c>
      <c r="AJ7" s="583">
        <f>HLOOKUP($AJ$3,'Daten Markthochlauf'!$C$24:$I$33,VLOOKUP($AI7,'Daten Markthochlauf'!$A$25:$B$33,2,FALSE),FALSE)</f>
        <v>3.6759973213431549</v>
      </c>
      <c r="AK7" s="291" t="s">
        <v>8</v>
      </c>
      <c r="AL7" s="583">
        <f>HLOOKUP($AL$3,'Daten Markthochlauf'!$C$13:$I$22,VLOOKUP($AI7,'Daten Markthochlauf'!$A$14:$B$22,2,FALSE),FALSE)</f>
        <v>2.4305555555555556E-2</v>
      </c>
      <c r="AM7" t="s">
        <v>95</v>
      </c>
      <c r="AN7" s="583">
        <f>HLOOKUP($AN$3,'Daten Markthochlauf'!$C$2:$I$11,VLOOKUP($AI7,'Daten Markthochlauf'!A6:B14,2,FALSE),FALSE)</f>
        <v>2.4305555555555556E-2</v>
      </c>
      <c r="AO7" t="s">
        <v>95</v>
      </c>
      <c r="AQ7" t="s">
        <v>429</v>
      </c>
      <c r="AR7">
        <f>AR4/Input_Preise!$J$37+AR4*Input_Preise!$J$39/100/2</f>
        <v>32.340000000000003</v>
      </c>
      <c r="AU7">
        <f>AU4/Input_Preise!$J$37+AU4*Input_Preise!$J$39/100/2</f>
        <v>40.6</v>
      </c>
      <c r="AW7">
        <f>AU7-AR7</f>
        <v>8.259999999999998</v>
      </c>
    </row>
    <row r="8" spans="1:49">
      <c r="A8" s="588" t="s">
        <v>438</v>
      </c>
      <c r="D8">
        <v>0</v>
      </c>
      <c r="E8">
        <v>0</v>
      </c>
      <c r="F8">
        <v>0</v>
      </c>
      <c r="G8">
        <f>IF($AG$5="CAPEX annualisiert",0,$G$4*($AG$3*($AU$4-$AR$4)+$AG$4*$AU$5))</f>
        <v>0</v>
      </c>
      <c r="H8">
        <v>0</v>
      </c>
      <c r="I8">
        <f t="shared" ref="I8:W8" si="2">IF($AG$5="CAPEX annualisiert",IF(I$2-$I$2&lt;$AG$8,I21*($AG$3*($AU$7-$AR$7)+$AG$4*$AU$8),0),0)</f>
        <v>5.6944999999999997</v>
      </c>
      <c r="J8">
        <f t="shared" si="2"/>
        <v>5.6944999999999997</v>
      </c>
      <c r="K8">
        <f t="shared" si="2"/>
        <v>5.6944999999999997</v>
      </c>
      <c r="L8">
        <f t="shared" si="2"/>
        <v>5.6944999999999997</v>
      </c>
      <c r="M8">
        <f t="shared" si="2"/>
        <v>5.6944999999999997</v>
      </c>
      <c r="N8">
        <f t="shared" si="2"/>
        <v>5.6944999999999997</v>
      </c>
      <c r="O8">
        <f t="shared" si="2"/>
        <v>5.6944999999999997</v>
      </c>
      <c r="P8">
        <f t="shared" si="2"/>
        <v>5.6944999999999997</v>
      </c>
      <c r="Q8">
        <f t="shared" si="2"/>
        <v>5.6944999999999997</v>
      </c>
      <c r="R8">
        <f t="shared" si="2"/>
        <v>5.6944999999999997</v>
      </c>
      <c r="S8">
        <f t="shared" si="2"/>
        <v>0</v>
      </c>
      <c r="T8">
        <f t="shared" si="2"/>
        <v>0</v>
      </c>
      <c r="U8">
        <f t="shared" si="2"/>
        <v>0</v>
      </c>
      <c r="V8">
        <f t="shared" si="2"/>
        <v>0</v>
      </c>
      <c r="W8">
        <f t="shared" si="2"/>
        <v>0</v>
      </c>
      <c r="AC8" s="584">
        <f t="shared" ref="AC8:AC12" si="3">SUM(D8:W8)</f>
        <v>56.944999999999986</v>
      </c>
      <c r="AD8" s="589"/>
      <c r="AF8" t="s">
        <v>435</v>
      </c>
      <c r="AG8" s="573">
        <v>10</v>
      </c>
      <c r="AI8" t="s">
        <v>0</v>
      </c>
      <c r="AJ8" s="583">
        <f>HLOOKUP($AJ$3,'Daten Markthochlauf'!$C$24:$I$33,VLOOKUP($AI8,'Daten Markthochlauf'!$A$25:$B$33,2,FALSE),FALSE)</f>
        <v>21.6</v>
      </c>
      <c r="AK8" s="291" t="s">
        <v>8</v>
      </c>
      <c r="AL8" s="583">
        <f>HLOOKUP($AL$3,'Daten Markthochlauf'!$C$13:$I$22,VLOOKUP($AI8,'Daten Markthochlauf'!$A$14:$B$22,2,FALSE),FALSE)</f>
        <v>6.805555555555556E-3</v>
      </c>
      <c r="AM8" t="s">
        <v>95</v>
      </c>
      <c r="AN8" s="583">
        <f>HLOOKUP($AN$3,'Daten Markthochlauf'!$C$2:$I$11,VLOOKUP($AI8,'Daten Markthochlauf'!A7:B15,2,FALSE),FALSE)</f>
        <v>6.805555555555556E-3</v>
      </c>
      <c r="AO8" t="s">
        <v>95</v>
      </c>
      <c r="AU8" s="583">
        <f>AU5/Input_Preise!$J$37+AU5*Input_Preise!$J$39/100/2</f>
        <v>14.518000000000001</v>
      </c>
      <c r="AW8" s="583">
        <f>AU8</f>
        <v>14.518000000000001</v>
      </c>
    </row>
    <row r="9" spans="1:49">
      <c r="A9" s="588" t="s">
        <v>442</v>
      </c>
      <c r="D9">
        <v>0</v>
      </c>
      <c r="E9">
        <v>0</v>
      </c>
      <c r="F9">
        <v>0</v>
      </c>
      <c r="G9">
        <v>0</v>
      </c>
      <c r="H9">
        <f>IF($AG$5="CAPEX annualisiert",0,$H$4*($AG$3*($AU$4-$AR$4)+$AG$4*$AU$5))</f>
        <v>0</v>
      </c>
      <c r="I9">
        <v>0</v>
      </c>
      <c r="J9">
        <f t="shared" ref="J9:W9" si="4">IF($AG$5="CAPEX annualisiert",IF(J$2-$J$2&lt;$AG$8,J22*($AG$3*($AU$7-$AR$7)+$AG$4*$AU$8),0),0)</f>
        <v>5.6944999999999997</v>
      </c>
      <c r="K9">
        <f t="shared" si="4"/>
        <v>5.6944999999999997</v>
      </c>
      <c r="L9">
        <f t="shared" si="4"/>
        <v>5.6944999999999997</v>
      </c>
      <c r="M9">
        <f t="shared" si="4"/>
        <v>5.6944999999999997</v>
      </c>
      <c r="N9">
        <f t="shared" si="4"/>
        <v>5.6944999999999997</v>
      </c>
      <c r="O9">
        <f t="shared" si="4"/>
        <v>5.6944999999999997</v>
      </c>
      <c r="P9">
        <f t="shared" si="4"/>
        <v>5.6944999999999997</v>
      </c>
      <c r="Q9">
        <f t="shared" si="4"/>
        <v>5.6944999999999997</v>
      </c>
      <c r="R9">
        <f t="shared" si="4"/>
        <v>5.6944999999999997</v>
      </c>
      <c r="S9">
        <f t="shared" si="4"/>
        <v>5.6944999999999997</v>
      </c>
      <c r="T9">
        <f t="shared" si="4"/>
        <v>0</v>
      </c>
      <c r="U9">
        <f t="shared" si="4"/>
        <v>0</v>
      </c>
      <c r="V9">
        <f t="shared" si="4"/>
        <v>0</v>
      </c>
      <c r="W9">
        <f t="shared" si="4"/>
        <v>0</v>
      </c>
      <c r="AC9" s="584">
        <f t="shared" si="3"/>
        <v>56.944999999999986</v>
      </c>
      <c r="AD9" s="589"/>
      <c r="AF9" t="s">
        <v>439</v>
      </c>
      <c r="AG9">
        <f>AG2/AG7</f>
        <v>0.5</v>
      </c>
      <c r="AI9" t="s">
        <v>33</v>
      </c>
      <c r="AJ9" s="583">
        <f>HLOOKUP($AJ$3,'Daten Markthochlauf'!$C$24:$I$33,VLOOKUP($AI9,'Daten Markthochlauf'!$A$25:$B$33,2,FALSE),FALSE)</f>
        <v>24.390243902439025</v>
      </c>
      <c r="AK9" s="291" t="s">
        <v>8</v>
      </c>
      <c r="AL9" s="583">
        <f>HLOOKUP($AL$3,'Daten Markthochlauf'!$C$13:$I$22,VLOOKUP($AI9,'Daten Markthochlauf'!$A$14:$B$22,2,FALSE),FALSE)</f>
        <v>0</v>
      </c>
      <c r="AM9" t="s">
        <v>95</v>
      </c>
      <c r="AN9" s="583">
        <f>HLOOKUP($AN$3,'Daten Markthochlauf'!$C$2:$I$11,VLOOKUP($AI9,'Daten Markthochlauf'!A8:B16,2,FALSE),FALSE)</f>
        <v>0</v>
      </c>
      <c r="AO9" t="s">
        <v>95</v>
      </c>
      <c r="AW9" s="583">
        <f>AVERAGE(AW7,AW8)</f>
        <v>11.388999999999999</v>
      </c>
    </row>
    <row r="10" spans="1:49">
      <c r="A10" s="588" t="s">
        <v>445</v>
      </c>
      <c r="D10">
        <v>0</v>
      </c>
      <c r="E10">
        <v>0</v>
      </c>
      <c r="F10">
        <v>0</v>
      </c>
      <c r="G10">
        <v>0</v>
      </c>
      <c r="H10">
        <v>0</v>
      </c>
      <c r="I10">
        <f>IF($AG$5="CAPEX annualisiert",0,$I$4*($AG$3*($AU$4-$AR$4)+$AG$4*$AU$5))</f>
        <v>0</v>
      </c>
      <c r="J10">
        <v>0</v>
      </c>
      <c r="K10">
        <f t="shared" ref="K10:W10" si="5">IF($AG$5="CAPEX annualisiert",IF(K$2-$K$2&lt;$AG$8,K23*($AG$3*($AU$7-$AR$7)+$AG$4*$AU$8),0),0)</f>
        <v>5.6944999999999997</v>
      </c>
      <c r="L10">
        <f t="shared" si="5"/>
        <v>5.6944999999999997</v>
      </c>
      <c r="M10">
        <f t="shared" si="5"/>
        <v>5.6944999999999997</v>
      </c>
      <c r="N10">
        <f t="shared" si="5"/>
        <v>5.6944999999999997</v>
      </c>
      <c r="O10">
        <f t="shared" si="5"/>
        <v>5.6944999999999997</v>
      </c>
      <c r="P10">
        <f t="shared" si="5"/>
        <v>5.6944999999999997</v>
      </c>
      <c r="Q10">
        <f t="shared" si="5"/>
        <v>5.6944999999999997</v>
      </c>
      <c r="R10">
        <f t="shared" si="5"/>
        <v>5.6944999999999997</v>
      </c>
      <c r="S10">
        <f t="shared" si="5"/>
        <v>5.6944999999999997</v>
      </c>
      <c r="T10">
        <f t="shared" si="5"/>
        <v>5.6944999999999997</v>
      </c>
      <c r="U10">
        <f t="shared" si="5"/>
        <v>0</v>
      </c>
      <c r="V10">
        <f t="shared" si="5"/>
        <v>0</v>
      </c>
      <c r="W10">
        <f t="shared" si="5"/>
        <v>0</v>
      </c>
      <c r="AC10" s="584">
        <f t="shared" si="3"/>
        <v>56.944999999999986</v>
      </c>
      <c r="AD10" s="589"/>
      <c r="AI10" t="s">
        <v>36</v>
      </c>
      <c r="AJ10" s="583">
        <f>HLOOKUP($AJ$3,'Daten Markthochlauf'!$C$24:$I$33,VLOOKUP($AI10,'Daten Markthochlauf'!$A$25:$B$33,2,FALSE),FALSE)</f>
        <v>57</v>
      </c>
      <c r="AK10" s="291" t="s">
        <v>8</v>
      </c>
      <c r="AL10" s="583">
        <f>HLOOKUP($AL$3,'Daten Markthochlauf'!$C$13:$I$22,VLOOKUP($AI10,'Daten Markthochlauf'!$A$14:$B$22,2,FALSE),FALSE)</f>
        <v>0</v>
      </c>
      <c r="AM10" t="s">
        <v>95</v>
      </c>
      <c r="AN10" s="583">
        <f>HLOOKUP($AN$3,'Daten Markthochlauf'!$C$2:$I$11,VLOOKUP($AI10,'Daten Markthochlauf'!A9:B17,2,FALSE),FALSE)</f>
        <v>0</v>
      </c>
      <c r="AO10" t="s">
        <v>95</v>
      </c>
    </row>
    <row r="11" spans="1:49">
      <c r="A11" s="588" t="s">
        <v>448</v>
      </c>
      <c r="D11">
        <v>0</v>
      </c>
      <c r="E11">
        <v>0</v>
      </c>
      <c r="F11">
        <v>0</v>
      </c>
      <c r="G11">
        <v>0</v>
      </c>
      <c r="H11">
        <v>0</v>
      </c>
      <c r="I11">
        <v>0</v>
      </c>
      <c r="J11">
        <f>IF($AG$5="CAPEX annualisiert",0,$J$4*($AG$3*($AU$4-$AR$4)+$AG$4*$AU$5))</f>
        <v>0</v>
      </c>
      <c r="K11">
        <v>0</v>
      </c>
      <c r="L11">
        <f t="shared" ref="L11:W11" si="6">IF($AG$5="CAPEX annualisiert",IF(L$2-$L$2&lt;$AG$8,L24*($AG$3*($AU$7-$AR$7)+$AG$4*$AU$8),0),0)</f>
        <v>5.6944999999999997</v>
      </c>
      <c r="M11">
        <f t="shared" si="6"/>
        <v>5.6944999999999997</v>
      </c>
      <c r="N11">
        <f t="shared" si="6"/>
        <v>5.6944999999999997</v>
      </c>
      <c r="O11">
        <f t="shared" si="6"/>
        <v>5.6944999999999997</v>
      </c>
      <c r="P11">
        <f t="shared" si="6"/>
        <v>5.6944999999999997</v>
      </c>
      <c r="Q11">
        <f t="shared" si="6"/>
        <v>5.6944999999999997</v>
      </c>
      <c r="R11">
        <f t="shared" si="6"/>
        <v>5.6944999999999997</v>
      </c>
      <c r="S11">
        <f t="shared" si="6"/>
        <v>5.6944999999999997</v>
      </c>
      <c r="T11">
        <f t="shared" si="6"/>
        <v>5.6944999999999997</v>
      </c>
      <c r="U11">
        <f t="shared" si="6"/>
        <v>5.6944999999999997</v>
      </c>
      <c r="V11">
        <f t="shared" si="6"/>
        <v>0</v>
      </c>
      <c r="W11">
        <f t="shared" si="6"/>
        <v>0</v>
      </c>
      <c r="AC11" s="584">
        <f t="shared" si="3"/>
        <v>56.944999999999986</v>
      </c>
      <c r="AD11" s="589"/>
      <c r="AF11" t="s">
        <v>446</v>
      </c>
      <c r="AG11" s="573" t="s">
        <v>426</v>
      </c>
      <c r="AI11" t="s">
        <v>28</v>
      </c>
      <c r="AJ11" s="583">
        <f>HLOOKUP($AJ$3,'Daten Markthochlauf'!$C$24:$I$33,VLOOKUP($AI11,'Daten Markthochlauf'!$A$25:$B$33,2,FALSE),FALSE)</f>
        <v>30.612244897959183</v>
      </c>
      <c r="AK11" s="291" t="s">
        <v>8</v>
      </c>
      <c r="AL11" s="583">
        <f>HLOOKUP($AL$3,'Daten Markthochlauf'!$C$13:$I$22,VLOOKUP($AI11,'Daten Markthochlauf'!$A$14:$B$22,2,FALSE),FALSE)</f>
        <v>9.7222222222222224E-3</v>
      </c>
      <c r="AM11" t="s">
        <v>95</v>
      </c>
      <c r="AN11" s="583">
        <f>HLOOKUP($AN$3,'Daten Markthochlauf'!$C$2:$I$11,VLOOKUP($AI11,'Daten Markthochlauf'!A10:B18,2,FALSE),FALSE)</f>
        <v>9.7222222222222224E-3</v>
      </c>
      <c r="AO11" t="s">
        <v>95</v>
      </c>
      <c r="AQ11" t="s">
        <v>436</v>
      </c>
      <c r="AR11" s="583">
        <f>Rechner!R9</f>
        <v>8</v>
      </c>
      <c r="AS11" t="s">
        <v>94</v>
      </c>
      <c r="AT11" t="s">
        <v>437</v>
      </c>
      <c r="AU11" s="584">
        <f>Rechner!AC9</f>
        <v>8</v>
      </c>
      <c r="AV11" t="s">
        <v>94</v>
      </c>
    </row>
    <row r="12" spans="1:49" ht="14.4" thickBot="1">
      <c r="A12" s="590" t="s">
        <v>450</v>
      </c>
      <c r="B12" s="591"/>
      <c r="C12" s="591"/>
      <c r="D12" s="591">
        <v>0</v>
      </c>
      <c r="E12" s="591">
        <v>0</v>
      </c>
      <c r="F12" s="591">
        <v>0</v>
      </c>
      <c r="G12" s="591">
        <v>0</v>
      </c>
      <c r="H12" s="591">
        <v>0</v>
      </c>
      <c r="I12" s="591">
        <v>0</v>
      </c>
      <c r="J12" s="591">
        <v>0</v>
      </c>
      <c r="K12" s="591">
        <f>IF($AG$5="CAPEX annualisiert",0,$K$4*($AG$3*($AU$4-$AR$4)+$AG$4*$AU$5))</f>
        <v>0</v>
      </c>
      <c r="L12" s="591">
        <v>0</v>
      </c>
      <c r="M12" s="591">
        <f t="shared" ref="M12:W12" si="7">IF($AG$5="CAPEX annualisiert",IF(M$2-$M$2&lt;$AG$8,M25*($AG$3*($AU$7-$AR$7)+$AG$4*$AU$8),0),0)</f>
        <v>5.6944999999999997</v>
      </c>
      <c r="N12" s="591">
        <f t="shared" si="7"/>
        <v>5.6944999999999997</v>
      </c>
      <c r="O12" s="591">
        <f t="shared" si="7"/>
        <v>5.6944999999999997</v>
      </c>
      <c r="P12" s="591">
        <f t="shared" si="7"/>
        <v>5.6944999999999997</v>
      </c>
      <c r="Q12" s="591">
        <f t="shared" si="7"/>
        <v>5.6944999999999997</v>
      </c>
      <c r="R12" s="591">
        <f t="shared" si="7"/>
        <v>5.6944999999999997</v>
      </c>
      <c r="S12" s="591">
        <f t="shared" si="7"/>
        <v>5.6944999999999997</v>
      </c>
      <c r="T12" s="591">
        <f t="shared" si="7"/>
        <v>5.6944999999999997</v>
      </c>
      <c r="U12" s="591">
        <f t="shared" si="7"/>
        <v>5.6944999999999997</v>
      </c>
      <c r="V12" s="591">
        <f t="shared" si="7"/>
        <v>5.6944999999999997</v>
      </c>
      <c r="W12" s="591">
        <f t="shared" si="7"/>
        <v>0</v>
      </c>
      <c r="X12" s="591"/>
      <c r="Y12" s="591"/>
      <c r="Z12" s="591"/>
      <c r="AA12" s="591"/>
      <c r="AB12" s="591"/>
      <c r="AC12" s="592">
        <f t="shared" si="3"/>
        <v>56.944999999999986</v>
      </c>
      <c r="AD12" s="589"/>
      <c r="AF12" t="s">
        <v>449</v>
      </c>
      <c r="AG12" s="573" t="s">
        <v>373</v>
      </c>
      <c r="AI12" t="s">
        <v>1</v>
      </c>
      <c r="AJ12" s="583">
        <f>HLOOKUP($AJ$3,'Daten Markthochlauf'!$C$24:$I$33,VLOOKUP($AI12,'Daten Markthochlauf'!$A$25:$B$33,2,FALSE),FALSE)</f>
        <v>165.28925619834715</v>
      </c>
      <c r="AK12" s="291" t="s">
        <v>8</v>
      </c>
      <c r="AL12" s="583">
        <f>HLOOKUP($AL$3,'Daten Markthochlauf'!$C$13:$I$22,VLOOKUP($AI12,'Daten Markthochlauf'!$A$14:$B$22,2,FALSE),FALSE)</f>
        <v>0</v>
      </c>
      <c r="AM12" t="s">
        <v>95</v>
      </c>
      <c r="AN12" s="583">
        <f>HLOOKUP($AN$3,'Daten Markthochlauf'!$C$2:$I$11,VLOOKUP($AI12,'Daten Markthochlauf'!A11:B19,2,FALSE),FALSE)</f>
        <v>0</v>
      </c>
      <c r="AO12" t="s">
        <v>95</v>
      </c>
      <c r="AQ12" t="s">
        <v>440</v>
      </c>
      <c r="AR12" s="610">
        <f>Rechner!R24</f>
        <v>20</v>
      </c>
      <c r="AS12" t="s">
        <v>94</v>
      </c>
      <c r="AT12" t="s">
        <v>441</v>
      </c>
      <c r="AU12" s="583">
        <f>Rechner!AC24</f>
        <v>24.694708276797829</v>
      </c>
      <c r="AV12" t="s">
        <v>94</v>
      </c>
    </row>
    <row r="13" spans="1:49" ht="14.4" thickTop="1">
      <c r="A13" s="593" t="s">
        <v>451</v>
      </c>
      <c r="B13" s="579"/>
      <c r="C13" s="579"/>
      <c r="D13" s="580">
        <f t="shared" ref="D13:W13" si="8">SUM(D7:D12)</f>
        <v>0</v>
      </c>
      <c r="E13" s="580">
        <f t="shared" si="8"/>
        <v>0</v>
      </c>
      <c r="F13" s="580">
        <f t="shared" si="8"/>
        <v>0</v>
      </c>
      <c r="G13" s="580">
        <f t="shared" si="8"/>
        <v>0</v>
      </c>
      <c r="H13" s="580">
        <f t="shared" si="8"/>
        <v>5.6944999999999997</v>
      </c>
      <c r="I13" s="580">
        <f t="shared" si="8"/>
        <v>11.388999999999999</v>
      </c>
      <c r="J13" s="580">
        <f t="shared" si="8"/>
        <v>17.083500000000001</v>
      </c>
      <c r="K13" s="580">
        <f t="shared" si="8"/>
        <v>22.777999999999999</v>
      </c>
      <c r="L13" s="580">
        <f t="shared" si="8"/>
        <v>28.472499999999997</v>
      </c>
      <c r="M13" s="580">
        <f t="shared" si="8"/>
        <v>34.166999999999994</v>
      </c>
      <c r="N13" s="580">
        <f t="shared" si="8"/>
        <v>34.166999999999994</v>
      </c>
      <c r="O13" s="580">
        <f t="shared" si="8"/>
        <v>34.166999999999994</v>
      </c>
      <c r="P13" s="580">
        <f t="shared" si="8"/>
        <v>34.166999999999994</v>
      </c>
      <c r="Q13" s="580">
        <f t="shared" si="8"/>
        <v>34.166999999999994</v>
      </c>
      <c r="R13" s="580">
        <f t="shared" si="8"/>
        <v>28.472499999999997</v>
      </c>
      <c r="S13" s="580">
        <f t="shared" si="8"/>
        <v>22.777999999999999</v>
      </c>
      <c r="T13" s="580">
        <f t="shared" si="8"/>
        <v>17.083500000000001</v>
      </c>
      <c r="U13" s="580">
        <f t="shared" si="8"/>
        <v>11.388999999999999</v>
      </c>
      <c r="V13" s="580">
        <f t="shared" si="8"/>
        <v>5.6944999999999997</v>
      </c>
      <c r="W13" s="580">
        <f t="shared" si="8"/>
        <v>0</v>
      </c>
      <c r="X13" s="580"/>
      <c r="Y13" s="580"/>
      <c r="Z13" s="580"/>
      <c r="AA13" s="580"/>
      <c r="AB13" s="580"/>
      <c r="AC13" s="594">
        <f>SUM(D13:W13)</f>
        <v>341.67000000000007</v>
      </c>
      <c r="AD13" s="581"/>
      <c r="AG13">
        <f>IF($AG$12="Pipeline",26,36)</f>
        <v>36</v>
      </c>
      <c r="AH13" t="s">
        <v>3</v>
      </c>
      <c r="AL13" t="s">
        <v>452</v>
      </c>
      <c r="AN13" t="s">
        <v>453</v>
      </c>
      <c r="AQ13" t="s">
        <v>443</v>
      </c>
      <c r="AR13" s="583">
        <f>Rechner!U19</f>
        <v>8.7500000000000008E-2</v>
      </c>
      <c r="AS13" t="s">
        <v>95</v>
      </c>
      <c r="AT13" t="s">
        <v>444</v>
      </c>
      <c r="AU13" s="583">
        <f>IF(Rechner!Z8="ja",('Bilanz Oxyfuel'!D55+'Bilanz Oxyfuel'!D40*Rechner!AF20+'Bilanz Oxyfuel'!D49*(AK21+AK22))/1000,('Bilanz Oxyfuel'!D55+'Bilanz Oxyfuel'!D49*(AK21+AK22))/1000)</f>
        <v>0.26787234344443639</v>
      </c>
      <c r="AV13" t="s">
        <v>95</v>
      </c>
    </row>
    <row r="14" spans="1:49">
      <c r="A14" s="588" t="s">
        <v>454</v>
      </c>
      <c r="D14" s="572">
        <f>SUM(D7)</f>
        <v>0</v>
      </c>
      <c r="E14" s="572">
        <f t="shared" ref="E14:W14" si="9">SUM(E7)</f>
        <v>0</v>
      </c>
      <c r="F14" s="572">
        <f t="shared" si="9"/>
        <v>0</v>
      </c>
      <c r="G14" s="572">
        <f t="shared" si="9"/>
        <v>0</v>
      </c>
      <c r="H14" s="572">
        <f t="shared" si="9"/>
        <v>5.6944999999999997</v>
      </c>
      <c r="I14" s="572">
        <f t="shared" si="9"/>
        <v>5.6944999999999997</v>
      </c>
      <c r="J14" s="572">
        <f t="shared" si="9"/>
        <v>5.6944999999999997</v>
      </c>
      <c r="K14" s="572">
        <f t="shared" si="9"/>
        <v>5.6944999999999997</v>
      </c>
      <c r="L14" s="572">
        <f t="shared" si="9"/>
        <v>5.6944999999999997</v>
      </c>
      <c r="M14" s="572">
        <f t="shared" si="9"/>
        <v>5.6944999999999997</v>
      </c>
      <c r="N14" s="572">
        <f t="shared" si="9"/>
        <v>5.6944999999999997</v>
      </c>
      <c r="O14" s="572">
        <f t="shared" si="9"/>
        <v>5.6944999999999997</v>
      </c>
      <c r="P14" s="572">
        <f t="shared" si="9"/>
        <v>5.6944999999999997</v>
      </c>
      <c r="Q14" s="572">
        <f t="shared" si="9"/>
        <v>5.6944999999999997</v>
      </c>
      <c r="R14" s="572">
        <f t="shared" si="9"/>
        <v>0</v>
      </c>
      <c r="S14" s="572">
        <f t="shared" si="9"/>
        <v>0</v>
      </c>
      <c r="T14" s="572">
        <f t="shared" si="9"/>
        <v>0</v>
      </c>
      <c r="U14" s="572">
        <f t="shared" si="9"/>
        <v>0</v>
      </c>
      <c r="V14" s="572">
        <f t="shared" si="9"/>
        <v>0</v>
      </c>
      <c r="W14" s="572">
        <f t="shared" si="9"/>
        <v>0</v>
      </c>
      <c r="X14" s="572"/>
      <c r="Y14" s="572"/>
      <c r="Z14" s="572"/>
      <c r="AA14" s="572"/>
      <c r="AB14" s="572"/>
      <c r="AC14" s="595">
        <f>SUM(D14:W14)</f>
        <v>56.944999999999986</v>
      </c>
      <c r="AF14" t="s">
        <v>461</v>
      </c>
      <c r="AG14" s="573" t="s">
        <v>499</v>
      </c>
      <c r="AL14" s="583">
        <f>SUMPRODUCT(AJ4:AJ12,AL4:AL12)</f>
        <v>3.9393805094589123</v>
      </c>
      <c r="AM14" t="s">
        <v>94</v>
      </c>
      <c r="AN14" s="583">
        <f>SUMPRODUCT(AJ4:AJ12,AN4:AN12)</f>
        <v>3.9393805094589123</v>
      </c>
      <c r="AO14" t="s">
        <v>94</v>
      </c>
      <c r="AT14" t="s">
        <v>447</v>
      </c>
      <c r="AU14" s="610">
        <f>Rechner!AC20</f>
        <v>0</v>
      </c>
      <c r="AV14" t="s">
        <v>94</v>
      </c>
    </row>
    <row r="15" spans="1:49">
      <c r="A15" s="588" t="s">
        <v>455</v>
      </c>
      <c r="D15" s="572">
        <f>SUM(D8:D12)</f>
        <v>0</v>
      </c>
      <c r="E15" s="572">
        <f>SUM(E8:E12)</f>
        <v>0</v>
      </c>
      <c r="F15" s="572">
        <f t="shared" ref="F15:W15" si="10">SUM(F8:F12)</f>
        <v>0</v>
      </c>
      <c r="G15" s="572">
        <f t="shared" si="10"/>
        <v>0</v>
      </c>
      <c r="H15" s="572">
        <f t="shared" si="10"/>
        <v>0</v>
      </c>
      <c r="I15" s="572">
        <f t="shared" si="10"/>
        <v>5.6944999999999997</v>
      </c>
      <c r="J15" s="572">
        <f t="shared" si="10"/>
        <v>11.388999999999999</v>
      </c>
      <c r="K15" s="572">
        <f t="shared" si="10"/>
        <v>17.083500000000001</v>
      </c>
      <c r="L15" s="572">
        <f t="shared" si="10"/>
        <v>22.777999999999999</v>
      </c>
      <c r="M15" s="572">
        <f t="shared" si="10"/>
        <v>28.472499999999997</v>
      </c>
      <c r="N15" s="572">
        <f t="shared" si="10"/>
        <v>28.472499999999997</v>
      </c>
      <c r="O15" s="572">
        <f>SUM(O8:O12)</f>
        <v>28.472499999999997</v>
      </c>
      <c r="P15" s="572">
        <f t="shared" si="10"/>
        <v>28.472499999999997</v>
      </c>
      <c r="Q15" s="572">
        <f t="shared" si="10"/>
        <v>28.472499999999997</v>
      </c>
      <c r="R15" s="572">
        <f t="shared" si="10"/>
        <v>28.472499999999997</v>
      </c>
      <c r="S15" s="572">
        <f t="shared" si="10"/>
        <v>22.777999999999999</v>
      </c>
      <c r="T15" s="572">
        <f t="shared" si="10"/>
        <v>17.083500000000001</v>
      </c>
      <c r="U15" s="572">
        <f t="shared" si="10"/>
        <v>11.388999999999999</v>
      </c>
      <c r="V15" s="572">
        <f t="shared" si="10"/>
        <v>5.6944999999999997</v>
      </c>
      <c r="W15" s="572">
        <f t="shared" si="10"/>
        <v>0</v>
      </c>
      <c r="X15" s="572"/>
      <c r="Y15" s="572"/>
      <c r="Z15" s="572"/>
      <c r="AA15" s="572"/>
      <c r="AB15" s="572"/>
      <c r="AC15" s="595">
        <f>SUM(D15:W15)</f>
        <v>284.72499999999997</v>
      </c>
      <c r="AF15" t="s">
        <v>463</v>
      </c>
      <c r="AG15" s="573" t="s">
        <v>426</v>
      </c>
    </row>
    <row r="16" spans="1:49">
      <c r="AI16" s="572" t="s">
        <v>458</v>
      </c>
      <c r="AJ16" s="572" t="s">
        <v>422</v>
      </c>
      <c r="AK16" s="572" t="s">
        <v>102</v>
      </c>
    </row>
    <row r="17" spans="1:39">
      <c r="A17" s="596" t="s">
        <v>459</v>
      </c>
      <c r="B17" s="597"/>
      <c r="C17" s="597"/>
      <c r="D17" s="597"/>
      <c r="E17" s="597"/>
      <c r="F17" s="597"/>
      <c r="G17" s="597"/>
      <c r="H17" s="597"/>
      <c r="I17" s="597"/>
      <c r="J17" s="597"/>
      <c r="K17" s="597"/>
      <c r="L17" s="597"/>
      <c r="M17" s="597"/>
      <c r="N17" s="597"/>
      <c r="O17" s="597"/>
      <c r="P17" s="597"/>
      <c r="Q17" s="597"/>
      <c r="R17" s="597"/>
      <c r="S17" s="597"/>
      <c r="T17" s="597"/>
      <c r="U17" s="597"/>
      <c r="V17" s="597"/>
      <c r="W17" s="597"/>
      <c r="X17" s="597"/>
      <c r="Y17" s="597"/>
      <c r="Z17" s="597"/>
      <c r="AA17" s="597"/>
      <c r="AB17" s="597"/>
      <c r="AC17" s="598"/>
      <c r="AD17" s="599"/>
      <c r="AF17" t="s">
        <v>456</v>
      </c>
      <c r="AG17" s="573" t="s">
        <v>457</v>
      </c>
      <c r="AI17" t="s">
        <v>460</v>
      </c>
      <c r="AJ17" s="601">
        <f>Rechner!U39</f>
        <v>0.53600000000000003</v>
      </c>
      <c r="AK17" s="601">
        <f>Rechner!AF39</f>
        <v>0.53600000000000003</v>
      </c>
      <c r="AL17" t="s">
        <v>93</v>
      </c>
    </row>
    <row r="18" spans="1:39">
      <c r="A18" s="588" t="s">
        <v>501</v>
      </c>
      <c r="B18" s="600" t="str">
        <f>AG14</f>
        <v>keine Grünen Leitmärkte</v>
      </c>
      <c r="D18" s="613">
        <f>HLOOKUP(D$2,'Daten Markthochlauf'!$N$2:$AG$5,VLOOKUP($AG$14,'Daten Markthochlauf'!$L$3:$M$5,2,FALSE),FALSE)</f>
        <v>0</v>
      </c>
      <c r="E18" s="613">
        <f>HLOOKUP(E$2,'Daten Markthochlauf'!$N$2:$AG$5,VLOOKUP($AG$14,'Daten Markthochlauf'!$L$3:$M$5,2,FALSE),FALSE)</f>
        <v>0</v>
      </c>
      <c r="F18" s="613">
        <f>HLOOKUP(F$2,'Daten Markthochlauf'!$N$2:$AG$5,VLOOKUP($AG$14,'Daten Markthochlauf'!$L$3:$M$5,2,FALSE),FALSE)</f>
        <v>0</v>
      </c>
      <c r="G18" s="613">
        <f>HLOOKUP(G$2,'Daten Markthochlauf'!$N$2:$AG$5,VLOOKUP($AG$14,'Daten Markthochlauf'!$L$3:$M$5,2,FALSE),FALSE)</f>
        <v>0</v>
      </c>
      <c r="H18" s="613">
        <f>HLOOKUP(H$2,'Daten Markthochlauf'!$N$2:$AG$5,VLOOKUP($AG$14,'Daten Markthochlauf'!$L$3:$M$5,2,FALSE),FALSE)</f>
        <v>0</v>
      </c>
      <c r="I18" s="613">
        <f>HLOOKUP(I$2,'Daten Markthochlauf'!$N$2:$AG$5,VLOOKUP($AG$14,'Daten Markthochlauf'!$L$3:$M$5,2,FALSE),FALSE)</f>
        <v>0</v>
      </c>
      <c r="J18" s="613">
        <f>HLOOKUP(J$2,'Daten Markthochlauf'!$N$2:$AG$5,VLOOKUP($AG$14,'Daten Markthochlauf'!$L$3:$M$5,2,FALSE),FALSE)</f>
        <v>0</v>
      </c>
      <c r="K18" s="613">
        <f>HLOOKUP(K$2,'Daten Markthochlauf'!$N$2:$AG$5,VLOOKUP($AG$14,'Daten Markthochlauf'!$L$3:$M$5,2,FALSE),FALSE)</f>
        <v>0</v>
      </c>
      <c r="L18" s="613">
        <f>HLOOKUP(L$2,'Daten Markthochlauf'!$N$2:$AG$5,VLOOKUP($AG$14,'Daten Markthochlauf'!$L$3:$M$5,2,FALSE),FALSE)</f>
        <v>0</v>
      </c>
      <c r="M18" s="613">
        <f>HLOOKUP(M$2,'Daten Markthochlauf'!$N$2:$AG$5,VLOOKUP($AG$14,'Daten Markthochlauf'!$L$3:$M$5,2,FALSE),FALSE)</f>
        <v>0</v>
      </c>
      <c r="N18" s="613">
        <f>HLOOKUP(N$2,'Daten Markthochlauf'!$N$2:$AG$5,VLOOKUP($AG$14,'Daten Markthochlauf'!$L$3:$M$5,2,FALSE),FALSE)</f>
        <v>0</v>
      </c>
      <c r="O18" s="613">
        <f>HLOOKUP(O$2,'Daten Markthochlauf'!$N$2:$AG$5,VLOOKUP($AG$14,'Daten Markthochlauf'!$L$3:$M$5,2,FALSE),FALSE)</f>
        <v>0</v>
      </c>
      <c r="P18" s="613">
        <f>HLOOKUP(P$2,'Daten Markthochlauf'!$N$2:$AG$5,VLOOKUP($AG$14,'Daten Markthochlauf'!$L$3:$M$5,2,FALSE),FALSE)</f>
        <v>0</v>
      </c>
      <c r="Q18" s="613">
        <f>HLOOKUP(Q$2,'Daten Markthochlauf'!$N$2:$AG$5,VLOOKUP($AG$14,'Daten Markthochlauf'!$L$3:$M$5,2,FALSE),FALSE)</f>
        <v>0</v>
      </c>
      <c r="R18" s="613">
        <f>HLOOKUP(R$2,'Daten Markthochlauf'!$N$2:$AG$5,VLOOKUP($AG$14,'Daten Markthochlauf'!$L$3:$M$5,2,FALSE),FALSE)</f>
        <v>0</v>
      </c>
      <c r="S18" s="613">
        <f>HLOOKUP(S$2,'Daten Markthochlauf'!$N$2:$AG$5,VLOOKUP($AG$14,'Daten Markthochlauf'!$L$3:$M$5,2,FALSE),FALSE)</f>
        <v>0</v>
      </c>
      <c r="T18" s="613">
        <f>HLOOKUP(T$2,'Daten Markthochlauf'!$N$2:$AG$5,VLOOKUP($AG$14,'Daten Markthochlauf'!$L$3:$M$5,2,FALSE),FALSE)</f>
        <v>0</v>
      </c>
      <c r="U18" s="613">
        <f>HLOOKUP(U$2,'Daten Markthochlauf'!$N$2:$AG$5,VLOOKUP($AG$14,'Daten Markthochlauf'!$L$3:$M$5,2,FALSE),FALSE)</f>
        <v>0</v>
      </c>
      <c r="V18" s="613">
        <f>HLOOKUP(V$2,'Daten Markthochlauf'!$N$2:$AG$5,VLOOKUP($AG$14,'Daten Markthochlauf'!$L$3:$M$5,2,FALSE),FALSE)</f>
        <v>0</v>
      </c>
      <c r="W18" s="613">
        <f>HLOOKUP(W$2,'Daten Markthochlauf'!$N$2:$AG$5,VLOOKUP($AG$14,'Daten Markthochlauf'!$L$3:$M$5,2,FALSE),FALSE)</f>
        <v>0</v>
      </c>
      <c r="X18" s="613"/>
      <c r="Y18" s="613"/>
      <c r="Z18" s="613"/>
      <c r="AA18" s="613"/>
      <c r="AB18" s="613"/>
      <c r="AC18" s="584"/>
      <c r="AD18" s="589"/>
      <c r="AF18" t="s">
        <v>191</v>
      </c>
      <c r="AG18" s="577">
        <v>0.9</v>
      </c>
      <c r="AI18" t="s">
        <v>462</v>
      </c>
      <c r="AJ18" s="601">
        <f>(AL4*'Bilanz Referenz'!E21+AL5*'Bilanz Referenz'!E25+AL6*'Bilanz Referenz'!E29+AL7*'Bilanz Referenz'!E32+AL8*'Bilanz Referenz'!E36+AL11*'Bilanz Referenz'!E49)*3.6/1000</f>
        <v>0.23060799999999998</v>
      </c>
      <c r="AK18" s="601">
        <f>(AN4*'Bilanz Referenz'!E21+AN5*'Bilanz Referenz'!E25+AN6*'Bilanz Referenz'!E29+AN7*'Bilanz Referenz'!E32+AN8*'Bilanz Referenz'!E36+AN11*'Bilanz Referenz'!E49)*3.6/1000</f>
        <v>0.23060799999999998</v>
      </c>
      <c r="AL18" t="s">
        <v>93</v>
      </c>
    </row>
    <row r="19" spans="1:39">
      <c r="A19" s="588"/>
      <c r="AC19" s="584"/>
      <c r="AD19" s="589"/>
      <c r="AI19" t="s">
        <v>464</v>
      </c>
      <c r="AJ19" s="601">
        <f>(AL4*'Bilanz Referenz'!F21+AL9*'Bilanz Referenz'!F39+AL10*'Bilanz Referenz'!F42)*3.6/1000</f>
        <v>6.1582499999999998E-2</v>
      </c>
      <c r="AK19" s="601">
        <f>(AN4*'Bilanz Referenz'!F21+AN9*'Bilanz Referenz'!F39+AN10*'Bilanz Referenz'!F42)*3.6/1000</f>
        <v>6.1582499999999998E-2</v>
      </c>
      <c r="AL19" t="s">
        <v>93</v>
      </c>
    </row>
    <row r="20" spans="1:39">
      <c r="A20" s="588" t="s">
        <v>465</v>
      </c>
      <c r="D20">
        <v>0</v>
      </c>
      <c r="E20">
        <v>0</v>
      </c>
      <c r="F20">
        <v>0</v>
      </c>
      <c r="G20">
        <v>0</v>
      </c>
      <c r="H20">
        <f t="shared" ref="H20:W20" si="11">IF($AG$8-(H$2-$H$2)&gt;0,$F$4*(1-H$18),0)</f>
        <v>0.5</v>
      </c>
      <c r="I20">
        <f t="shared" si="11"/>
        <v>0.5</v>
      </c>
      <c r="J20">
        <f t="shared" si="11"/>
        <v>0.5</v>
      </c>
      <c r="K20">
        <f t="shared" si="11"/>
        <v>0.5</v>
      </c>
      <c r="L20">
        <f t="shared" si="11"/>
        <v>0.5</v>
      </c>
      <c r="M20">
        <f t="shared" si="11"/>
        <v>0.5</v>
      </c>
      <c r="N20">
        <f t="shared" si="11"/>
        <v>0.5</v>
      </c>
      <c r="O20">
        <f t="shared" si="11"/>
        <v>0.5</v>
      </c>
      <c r="P20">
        <f t="shared" si="11"/>
        <v>0.5</v>
      </c>
      <c r="Q20">
        <f t="shared" si="11"/>
        <v>0.5</v>
      </c>
      <c r="R20">
        <f t="shared" si="11"/>
        <v>0</v>
      </c>
      <c r="S20">
        <f t="shared" si="11"/>
        <v>0</v>
      </c>
      <c r="T20">
        <f t="shared" si="11"/>
        <v>0</v>
      </c>
      <c r="U20">
        <f t="shared" si="11"/>
        <v>0</v>
      </c>
      <c r="V20">
        <f t="shared" si="11"/>
        <v>0</v>
      </c>
      <c r="W20">
        <f t="shared" si="11"/>
        <v>0</v>
      </c>
      <c r="AC20" s="584"/>
      <c r="AD20" s="589"/>
      <c r="AF20" t="s">
        <v>510</v>
      </c>
      <c r="AG20">
        <v>19</v>
      </c>
      <c r="AH20" t="s">
        <v>511</v>
      </c>
      <c r="AI20" s="572" t="s">
        <v>466</v>
      </c>
      <c r="AK20" s="583"/>
    </row>
    <row r="21" spans="1:39" ht="14.4" thickBot="1">
      <c r="A21" s="588" t="s">
        <v>467</v>
      </c>
      <c r="D21">
        <v>0</v>
      </c>
      <c r="E21">
        <v>0</v>
      </c>
      <c r="F21">
        <v>0</v>
      </c>
      <c r="G21">
        <v>0</v>
      </c>
      <c r="H21">
        <v>0</v>
      </c>
      <c r="I21">
        <f t="shared" ref="I21:W21" si="12">IF($AG$8-(I$2-$I$2)&gt;0,$G$4*(1-I$18),0)</f>
        <v>0.5</v>
      </c>
      <c r="J21">
        <f t="shared" si="12"/>
        <v>0.5</v>
      </c>
      <c r="K21">
        <f t="shared" si="12"/>
        <v>0.5</v>
      </c>
      <c r="L21">
        <f t="shared" si="12"/>
        <v>0.5</v>
      </c>
      <c r="M21">
        <f t="shared" si="12"/>
        <v>0.5</v>
      </c>
      <c r="N21">
        <f t="shared" si="12"/>
        <v>0.5</v>
      </c>
      <c r="O21">
        <f t="shared" si="12"/>
        <v>0.5</v>
      </c>
      <c r="P21">
        <f t="shared" si="12"/>
        <v>0.5</v>
      </c>
      <c r="Q21">
        <f t="shared" si="12"/>
        <v>0.5</v>
      </c>
      <c r="R21">
        <f t="shared" si="12"/>
        <v>0.5</v>
      </c>
      <c r="S21">
        <f t="shared" si="12"/>
        <v>0</v>
      </c>
      <c r="T21">
        <f t="shared" si="12"/>
        <v>0</v>
      </c>
      <c r="U21">
        <f t="shared" si="12"/>
        <v>0</v>
      </c>
      <c r="V21">
        <f t="shared" si="12"/>
        <v>0</v>
      </c>
      <c r="W21">
        <f t="shared" si="12"/>
        <v>0</v>
      </c>
      <c r="AC21" s="584"/>
      <c r="AD21" s="589"/>
      <c r="AI21" t="s">
        <v>462</v>
      </c>
      <c r="AJ21" s="601">
        <v>0</v>
      </c>
      <c r="AK21" s="601">
        <f>($AK$17+$AK$18)*$AG$18</f>
        <v>0.68994719999999998</v>
      </c>
      <c r="AL21" t="s">
        <v>93</v>
      </c>
    </row>
    <row r="22" spans="1:39">
      <c r="A22" s="588" t="s">
        <v>468</v>
      </c>
      <c r="D22">
        <v>0</v>
      </c>
      <c r="E22">
        <v>0</v>
      </c>
      <c r="F22">
        <v>0</v>
      </c>
      <c r="G22">
        <v>0</v>
      </c>
      <c r="H22">
        <v>0</v>
      </c>
      <c r="I22">
        <v>0</v>
      </c>
      <c r="J22">
        <f t="shared" ref="J22:W22" si="13">IF($AG$8-(J$2-$J$2)&gt;0,$H$4*(1-J$18),0)</f>
        <v>0.5</v>
      </c>
      <c r="K22">
        <f t="shared" si="13"/>
        <v>0.5</v>
      </c>
      <c r="L22">
        <f t="shared" si="13"/>
        <v>0.5</v>
      </c>
      <c r="M22">
        <f t="shared" si="13"/>
        <v>0.5</v>
      </c>
      <c r="N22">
        <f t="shared" si="13"/>
        <v>0.5</v>
      </c>
      <c r="O22">
        <f t="shared" si="13"/>
        <v>0.5</v>
      </c>
      <c r="P22">
        <f t="shared" si="13"/>
        <v>0.5</v>
      </c>
      <c r="Q22">
        <f t="shared" si="13"/>
        <v>0.5</v>
      </c>
      <c r="R22">
        <f t="shared" si="13"/>
        <v>0.5</v>
      </c>
      <c r="S22">
        <f t="shared" si="13"/>
        <v>0.5</v>
      </c>
      <c r="T22">
        <f t="shared" si="13"/>
        <v>0</v>
      </c>
      <c r="U22">
        <f t="shared" si="13"/>
        <v>0</v>
      </c>
      <c r="V22">
        <f t="shared" si="13"/>
        <v>0</v>
      </c>
      <c r="W22">
        <f t="shared" si="13"/>
        <v>0</v>
      </c>
      <c r="AC22" s="584"/>
      <c r="AD22" s="589"/>
      <c r="AF22" s="615" t="str">
        <f>A6</f>
        <v>CAPEX Mehrkosten [Mio. €]</v>
      </c>
      <c r="AG22" s="616">
        <f>AC13</f>
        <v>341.67000000000007</v>
      </c>
      <c r="AI22" t="s">
        <v>464</v>
      </c>
      <c r="AJ22" s="601">
        <v>0</v>
      </c>
      <c r="AK22" s="601">
        <f>$AK$19*$AG$18</f>
        <v>5.5424250000000001E-2</v>
      </c>
      <c r="AL22" t="s">
        <v>93</v>
      </c>
    </row>
    <row r="23" spans="1:39">
      <c r="A23" s="588" t="s">
        <v>469</v>
      </c>
      <c r="D23">
        <v>0</v>
      </c>
      <c r="E23">
        <v>0</v>
      </c>
      <c r="F23">
        <v>0</v>
      </c>
      <c r="G23">
        <v>0</v>
      </c>
      <c r="H23">
        <v>0</v>
      </c>
      <c r="I23">
        <v>0</v>
      </c>
      <c r="J23">
        <v>0</v>
      </c>
      <c r="K23">
        <f t="shared" ref="K23:W23" si="14">IF($AG$8-(K$2-$K$2)&gt;0,$I$4*(1-K$18),0)</f>
        <v>0.5</v>
      </c>
      <c r="L23">
        <f t="shared" si="14"/>
        <v>0.5</v>
      </c>
      <c r="M23">
        <f t="shared" si="14"/>
        <v>0.5</v>
      </c>
      <c r="N23">
        <f t="shared" si="14"/>
        <v>0.5</v>
      </c>
      <c r="O23">
        <f t="shared" si="14"/>
        <v>0.5</v>
      </c>
      <c r="P23">
        <f t="shared" si="14"/>
        <v>0.5</v>
      </c>
      <c r="Q23">
        <f t="shared" si="14"/>
        <v>0.5</v>
      </c>
      <c r="R23">
        <f t="shared" si="14"/>
        <v>0.5</v>
      </c>
      <c r="S23">
        <f t="shared" si="14"/>
        <v>0.5</v>
      </c>
      <c r="T23">
        <f t="shared" si="14"/>
        <v>0.5</v>
      </c>
      <c r="U23">
        <f t="shared" si="14"/>
        <v>0</v>
      </c>
      <c r="V23">
        <f t="shared" si="14"/>
        <v>0</v>
      </c>
      <c r="W23">
        <f t="shared" si="14"/>
        <v>0</v>
      </c>
      <c r="AC23" s="584"/>
      <c r="AD23" s="589"/>
      <c r="AF23" s="617" t="s">
        <v>454</v>
      </c>
      <c r="AG23" s="618">
        <f>AC14</f>
        <v>56.944999999999986</v>
      </c>
      <c r="AI23" t="s">
        <v>470</v>
      </c>
      <c r="AJ23" s="601">
        <f>(AJ22+AJ21)*$AG$13</f>
        <v>0</v>
      </c>
      <c r="AK23" s="601">
        <f>(AK22+AK21)*$AG$13</f>
        <v>26.833372199999999</v>
      </c>
      <c r="AL23" t="s">
        <v>94</v>
      </c>
    </row>
    <row r="24" spans="1:39">
      <c r="A24" s="588" t="s">
        <v>471</v>
      </c>
      <c r="D24">
        <v>0</v>
      </c>
      <c r="E24">
        <v>0</v>
      </c>
      <c r="F24">
        <v>0</v>
      </c>
      <c r="G24">
        <v>0</v>
      </c>
      <c r="H24">
        <v>0</v>
      </c>
      <c r="I24">
        <v>0</v>
      </c>
      <c r="J24">
        <v>0</v>
      </c>
      <c r="K24">
        <v>0</v>
      </c>
      <c r="L24">
        <f t="shared" ref="L24:W24" si="15">IF($AG$8-(L$2-$L$2)&gt;0,$J$4*(1-L$18),0)</f>
        <v>0.5</v>
      </c>
      <c r="M24">
        <f t="shared" si="15"/>
        <v>0.5</v>
      </c>
      <c r="N24">
        <f t="shared" si="15"/>
        <v>0.5</v>
      </c>
      <c r="O24">
        <f t="shared" si="15"/>
        <v>0.5</v>
      </c>
      <c r="P24">
        <f t="shared" si="15"/>
        <v>0.5</v>
      </c>
      <c r="Q24">
        <f t="shared" si="15"/>
        <v>0.5</v>
      </c>
      <c r="R24">
        <f t="shared" si="15"/>
        <v>0.5</v>
      </c>
      <c r="S24">
        <f t="shared" si="15"/>
        <v>0.5</v>
      </c>
      <c r="T24">
        <f t="shared" si="15"/>
        <v>0.5</v>
      </c>
      <c r="U24">
        <f t="shared" si="15"/>
        <v>0.5</v>
      </c>
      <c r="V24">
        <f t="shared" si="15"/>
        <v>0</v>
      </c>
      <c r="W24">
        <f t="shared" si="15"/>
        <v>0</v>
      </c>
      <c r="AD24" s="589"/>
      <c r="AF24" s="617" t="s">
        <v>455</v>
      </c>
      <c r="AG24" s="618">
        <f>AC15</f>
        <v>284.72499999999997</v>
      </c>
      <c r="AI24" s="572" t="s">
        <v>472</v>
      </c>
      <c r="AK24" s="583"/>
    </row>
    <row r="25" spans="1:39" ht="14.4" thickBot="1">
      <c r="A25" s="590" t="s">
        <v>473</v>
      </c>
      <c r="B25" s="591"/>
      <c r="C25" s="591"/>
      <c r="D25" s="591">
        <v>0</v>
      </c>
      <c r="E25" s="591">
        <v>0</v>
      </c>
      <c r="F25" s="591">
        <v>0</v>
      </c>
      <c r="G25" s="591">
        <v>0</v>
      </c>
      <c r="H25" s="591">
        <v>0</v>
      </c>
      <c r="I25" s="591">
        <v>0</v>
      </c>
      <c r="J25" s="591">
        <v>0</v>
      </c>
      <c r="K25" s="591">
        <v>0</v>
      </c>
      <c r="L25" s="591">
        <v>0</v>
      </c>
      <c r="M25" s="591">
        <f t="shared" ref="M25:W25" si="16">IF($AG$8-(M$2-$M$2)&gt;0,$K$4*(1-M$18),0)</f>
        <v>0.5</v>
      </c>
      <c r="N25" s="591">
        <f t="shared" si="16"/>
        <v>0.5</v>
      </c>
      <c r="O25" s="591">
        <f t="shared" si="16"/>
        <v>0.5</v>
      </c>
      <c r="P25" s="591">
        <f t="shared" si="16"/>
        <v>0.5</v>
      </c>
      <c r="Q25" s="591">
        <f t="shared" si="16"/>
        <v>0.5</v>
      </c>
      <c r="R25" s="591">
        <f t="shared" si="16"/>
        <v>0.5</v>
      </c>
      <c r="S25" s="591">
        <f t="shared" si="16"/>
        <v>0.5</v>
      </c>
      <c r="T25" s="591">
        <f t="shared" si="16"/>
        <v>0.5</v>
      </c>
      <c r="U25" s="591">
        <f t="shared" si="16"/>
        <v>0.5</v>
      </c>
      <c r="V25" s="591">
        <f t="shared" si="16"/>
        <v>0.5</v>
      </c>
      <c r="W25" s="591">
        <f t="shared" si="16"/>
        <v>0</v>
      </c>
      <c r="X25" s="626"/>
      <c r="Y25" s="626"/>
      <c r="Z25" s="626"/>
      <c r="AA25" s="626"/>
      <c r="AB25" s="626"/>
      <c r="AC25" s="584"/>
      <c r="AD25" s="589"/>
      <c r="AF25" s="619" t="str">
        <f>A28</f>
        <v>OPEX Mehrkosten Gesamt [Mio. €]</v>
      </c>
      <c r="AG25" s="620">
        <f>AC35</f>
        <v>-312.59872652941044</v>
      </c>
      <c r="AI25" t="s">
        <v>462</v>
      </c>
      <c r="AJ25" s="601">
        <f>($AJ$17+$AJ$18)-$AJ$21</f>
        <v>0.76660799999999996</v>
      </c>
      <c r="AK25" s="601">
        <f>($AK$17+$AK$18)-$AK$21</f>
        <v>7.6660799999999973E-2</v>
      </c>
      <c r="AL25" t="s">
        <v>93</v>
      </c>
    </row>
    <row r="26" spans="1:39" ht="14.4" thickTop="1">
      <c r="A26" s="593" t="s">
        <v>451</v>
      </c>
      <c r="B26" s="579"/>
      <c r="C26" s="579"/>
      <c r="D26" s="579">
        <f t="shared" ref="D26:W26" si="17">SUM(D20:D25)</f>
        <v>0</v>
      </c>
      <c r="E26" s="579">
        <f t="shared" si="17"/>
        <v>0</v>
      </c>
      <c r="F26" s="579">
        <f t="shared" si="17"/>
        <v>0</v>
      </c>
      <c r="G26" s="579">
        <f t="shared" si="17"/>
        <v>0</v>
      </c>
      <c r="H26" s="579">
        <f t="shared" si="17"/>
        <v>0.5</v>
      </c>
      <c r="I26" s="579">
        <f t="shared" si="17"/>
        <v>1</v>
      </c>
      <c r="J26" s="579">
        <f t="shared" si="17"/>
        <v>1.5</v>
      </c>
      <c r="K26" s="579">
        <f t="shared" si="17"/>
        <v>2</v>
      </c>
      <c r="L26" s="579">
        <f t="shared" si="17"/>
        <v>2.5</v>
      </c>
      <c r="M26" s="579">
        <f t="shared" si="17"/>
        <v>3</v>
      </c>
      <c r="N26" s="579">
        <f t="shared" si="17"/>
        <v>3</v>
      </c>
      <c r="O26" s="579">
        <f t="shared" si="17"/>
        <v>3</v>
      </c>
      <c r="P26" s="579">
        <f t="shared" si="17"/>
        <v>3</v>
      </c>
      <c r="Q26" s="579">
        <f t="shared" si="17"/>
        <v>3</v>
      </c>
      <c r="R26" s="579">
        <f t="shared" si="17"/>
        <v>2.5</v>
      </c>
      <c r="S26" s="579">
        <f t="shared" si="17"/>
        <v>2</v>
      </c>
      <c r="T26" s="579">
        <f t="shared" si="17"/>
        <v>1.5</v>
      </c>
      <c r="U26" s="579">
        <f t="shared" si="17"/>
        <v>1</v>
      </c>
      <c r="V26" s="579">
        <f t="shared" si="17"/>
        <v>0.5</v>
      </c>
      <c r="W26" s="579">
        <f t="shared" si="17"/>
        <v>0</v>
      </c>
      <c r="X26" s="579"/>
      <c r="Y26" s="579"/>
      <c r="Z26" s="579"/>
      <c r="AA26" s="579"/>
      <c r="AB26" s="579"/>
      <c r="AC26" s="602"/>
      <c r="AD26" s="581"/>
      <c r="AF26" s="617" t="s">
        <v>454</v>
      </c>
      <c r="AG26" s="618">
        <f>AC36</f>
        <v>-34.148383754901751</v>
      </c>
      <c r="AI26" t="s">
        <v>464</v>
      </c>
      <c r="AJ26" s="601">
        <f>$AJ$19-$AJ$22</f>
        <v>6.1582499999999998E-2</v>
      </c>
      <c r="AK26" s="601">
        <f>$AK$19-$AK$22</f>
        <v>6.1582499999999971E-3</v>
      </c>
      <c r="AL26" t="s">
        <v>93</v>
      </c>
    </row>
    <row r="27" spans="1:39">
      <c r="AF27" s="617" t="s">
        <v>455</v>
      </c>
      <c r="AG27" s="618">
        <f>AC37</f>
        <v>-278.45034277450873</v>
      </c>
    </row>
    <row r="28" spans="1:39">
      <c r="A28" s="585" t="s">
        <v>474</v>
      </c>
      <c r="B28" s="586"/>
      <c r="C28" s="586"/>
      <c r="D28" s="586"/>
      <c r="E28" s="586"/>
      <c r="F28" s="586"/>
      <c r="G28" s="586"/>
      <c r="H28" s="586"/>
      <c r="I28" s="586"/>
      <c r="J28" s="586"/>
      <c r="K28" s="586"/>
      <c r="L28" s="586"/>
      <c r="M28" s="586"/>
      <c r="N28" s="586"/>
      <c r="O28" s="586"/>
      <c r="P28" s="586"/>
      <c r="Q28" s="586"/>
      <c r="R28" s="586"/>
      <c r="S28" s="586"/>
      <c r="T28" s="586"/>
      <c r="U28" s="586"/>
      <c r="V28" s="586"/>
      <c r="W28" s="586"/>
      <c r="X28" s="586"/>
      <c r="Y28" s="586"/>
      <c r="Z28" s="586"/>
      <c r="AA28" s="586"/>
      <c r="AB28" s="586"/>
      <c r="AC28" s="586"/>
      <c r="AD28" s="587"/>
      <c r="AF28" s="619" t="s">
        <v>513</v>
      </c>
      <c r="AG28" s="620">
        <f>AC46</f>
        <v>74.462225608824212</v>
      </c>
      <c r="AI28" s="572" t="s">
        <v>475</v>
      </c>
      <c r="AJ28" s="573" t="s">
        <v>528</v>
      </c>
      <c r="AK28" s="572" t="s">
        <v>422</v>
      </c>
      <c r="AL28" s="572" t="s">
        <v>102</v>
      </c>
    </row>
    <row r="29" spans="1:39">
      <c r="A29" s="588" t="s">
        <v>465</v>
      </c>
      <c r="D29">
        <f t="shared" ref="D29:W29" si="18">D56+D70+D80+D100</f>
        <v>0</v>
      </c>
      <c r="E29">
        <f t="shared" si="18"/>
        <v>0</v>
      </c>
      <c r="F29">
        <f t="shared" si="18"/>
        <v>0</v>
      </c>
      <c r="G29">
        <f t="shared" si="18"/>
        <v>0</v>
      </c>
      <c r="H29">
        <f t="shared" si="18"/>
        <v>-4.1763175490174831E-2</v>
      </c>
      <c r="I29">
        <f t="shared" si="18"/>
        <v>-0.80837117549017634</v>
      </c>
      <c r="J29">
        <f t="shared" si="18"/>
        <v>-1.5749791754901743</v>
      </c>
      <c r="K29">
        <f t="shared" si="18"/>
        <v>-2.3415871754901758</v>
      </c>
      <c r="L29">
        <f t="shared" si="18"/>
        <v>-3.1081951754901738</v>
      </c>
      <c r="M29">
        <f t="shared" si="18"/>
        <v>-3.8748031754901753</v>
      </c>
      <c r="N29">
        <f t="shared" si="18"/>
        <v>-4.5647503754901742</v>
      </c>
      <c r="O29">
        <f t="shared" si="18"/>
        <v>-5.2546975754901766</v>
      </c>
      <c r="P29">
        <f t="shared" si="18"/>
        <v>-5.9446447754901754</v>
      </c>
      <c r="Q29">
        <f t="shared" si="18"/>
        <v>-6.6345919754901743</v>
      </c>
      <c r="R29">
        <f t="shared" si="18"/>
        <v>0</v>
      </c>
      <c r="S29">
        <f t="shared" si="18"/>
        <v>0</v>
      </c>
      <c r="T29">
        <f t="shared" si="18"/>
        <v>0</v>
      </c>
      <c r="U29">
        <f t="shared" si="18"/>
        <v>0</v>
      </c>
      <c r="V29">
        <f t="shared" si="18"/>
        <v>0</v>
      </c>
      <c r="W29">
        <f t="shared" si="18"/>
        <v>0</v>
      </c>
      <c r="AC29" s="584">
        <f>SUM(D29:W29)</f>
        <v>-34.148383754901751</v>
      </c>
      <c r="AD29" s="589"/>
      <c r="AF29" s="617" t="s">
        <v>454</v>
      </c>
      <c r="AG29" s="618">
        <f>AG23+AG26</f>
        <v>22.796616245098235</v>
      </c>
      <c r="AK29" s="601">
        <f>Rechner!U51</f>
        <v>0.66733333333333333</v>
      </c>
      <c r="AL29" s="601">
        <f>Rechner!AF51</f>
        <v>0.66733333333333333</v>
      </c>
      <c r="AM29" t="s">
        <v>476</v>
      </c>
    </row>
    <row r="30" spans="1:39" ht="14.4" thickBot="1">
      <c r="A30" s="588" t="s">
        <v>467</v>
      </c>
      <c r="D30">
        <f t="shared" ref="D30:W30" si="19">D57+D71+D81+D101</f>
        <v>0</v>
      </c>
      <c r="E30">
        <f t="shared" si="19"/>
        <v>0</v>
      </c>
      <c r="F30">
        <f t="shared" si="19"/>
        <v>0</v>
      </c>
      <c r="G30">
        <f t="shared" si="19"/>
        <v>0</v>
      </c>
      <c r="H30">
        <f t="shared" si="19"/>
        <v>0</v>
      </c>
      <c r="I30">
        <f t="shared" si="19"/>
        <v>-0.80837117549017634</v>
      </c>
      <c r="J30">
        <f t="shared" si="19"/>
        <v>-1.5749791754901743</v>
      </c>
      <c r="K30">
        <f t="shared" si="19"/>
        <v>-2.3415871754901758</v>
      </c>
      <c r="L30">
        <f t="shared" si="19"/>
        <v>-3.1081951754901738</v>
      </c>
      <c r="M30">
        <f t="shared" si="19"/>
        <v>-3.8748031754901753</v>
      </c>
      <c r="N30">
        <f t="shared" si="19"/>
        <v>-4.5647503754901742</v>
      </c>
      <c r="O30">
        <f t="shared" si="19"/>
        <v>-5.2546975754901766</v>
      </c>
      <c r="P30">
        <f t="shared" si="19"/>
        <v>-5.9446447754901754</v>
      </c>
      <c r="Q30">
        <f t="shared" si="19"/>
        <v>-6.6345919754901743</v>
      </c>
      <c r="R30">
        <f t="shared" si="19"/>
        <v>-7.3245391754901732</v>
      </c>
      <c r="S30">
        <f t="shared" si="19"/>
        <v>0</v>
      </c>
      <c r="T30">
        <f t="shared" si="19"/>
        <v>0</v>
      </c>
      <c r="U30">
        <f t="shared" si="19"/>
        <v>0</v>
      </c>
      <c r="V30">
        <f t="shared" si="19"/>
        <v>0</v>
      </c>
      <c r="W30">
        <f t="shared" si="19"/>
        <v>0</v>
      </c>
      <c r="AC30" s="584">
        <f t="shared" ref="AC30:AC34" si="20">SUM(D30:W30)</f>
        <v>-41.431159754901749</v>
      </c>
      <c r="AD30" s="589"/>
      <c r="AF30" s="621" t="s">
        <v>455</v>
      </c>
      <c r="AG30" s="622">
        <f>AG24+AG27</f>
        <v>6.2746572254912394</v>
      </c>
    </row>
    <row r="31" spans="1:39" ht="14.4" thickBot="1">
      <c r="A31" s="588" t="s">
        <v>468</v>
      </c>
      <c r="D31">
        <f t="shared" ref="D31:W31" si="21">D58+D72+D82+D102</f>
        <v>0</v>
      </c>
      <c r="E31">
        <f t="shared" si="21"/>
        <v>0</v>
      </c>
      <c r="F31">
        <f t="shared" si="21"/>
        <v>0</v>
      </c>
      <c r="G31">
        <f t="shared" si="21"/>
        <v>0</v>
      </c>
      <c r="H31">
        <f t="shared" si="21"/>
        <v>0</v>
      </c>
      <c r="I31">
        <f t="shared" si="21"/>
        <v>0</v>
      </c>
      <c r="J31">
        <f t="shared" si="21"/>
        <v>-1.5749791754901743</v>
      </c>
      <c r="K31">
        <f t="shared" si="21"/>
        <v>-2.3415871754901758</v>
      </c>
      <c r="L31">
        <f t="shared" si="21"/>
        <v>-3.1081951754901738</v>
      </c>
      <c r="M31">
        <f t="shared" si="21"/>
        <v>-3.8748031754901753</v>
      </c>
      <c r="N31">
        <f t="shared" si="21"/>
        <v>-4.5647503754901742</v>
      </c>
      <c r="O31">
        <f t="shared" si="21"/>
        <v>-5.2546975754901766</v>
      </c>
      <c r="P31">
        <f t="shared" si="21"/>
        <v>-5.9446447754901754</v>
      </c>
      <c r="Q31">
        <f t="shared" si="21"/>
        <v>-6.6345919754901743</v>
      </c>
      <c r="R31">
        <f t="shared" si="21"/>
        <v>-7.3245391754901732</v>
      </c>
      <c r="S31">
        <f t="shared" si="21"/>
        <v>-8.0144863754901756</v>
      </c>
      <c r="T31">
        <f t="shared" si="21"/>
        <v>0</v>
      </c>
      <c r="U31">
        <f t="shared" si="21"/>
        <v>0</v>
      </c>
      <c r="V31">
        <f t="shared" si="21"/>
        <v>0</v>
      </c>
      <c r="W31">
        <f t="shared" si="21"/>
        <v>0</v>
      </c>
      <c r="AC31" s="584">
        <f t="shared" si="20"/>
        <v>-48.637274954901756</v>
      </c>
      <c r="AD31" s="589"/>
      <c r="AF31" s="623" t="s">
        <v>509</v>
      </c>
      <c r="AG31" s="625">
        <f>SUM(W89:W94)</f>
        <v>-2.2361143499999998</v>
      </c>
    </row>
    <row r="32" spans="1:39">
      <c r="A32" s="588" t="s">
        <v>469</v>
      </c>
      <c r="D32">
        <f t="shared" ref="D32:W32" si="22">D59+D73+D83+D103</f>
        <v>0</v>
      </c>
      <c r="E32">
        <f t="shared" si="22"/>
        <v>0</v>
      </c>
      <c r="F32">
        <f t="shared" si="22"/>
        <v>0</v>
      </c>
      <c r="G32">
        <f t="shared" si="22"/>
        <v>0</v>
      </c>
      <c r="H32">
        <f t="shared" si="22"/>
        <v>0</v>
      </c>
      <c r="I32">
        <f t="shared" si="22"/>
        <v>0</v>
      </c>
      <c r="J32">
        <f t="shared" si="22"/>
        <v>0</v>
      </c>
      <c r="K32">
        <f t="shared" si="22"/>
        <v>-2.3415871754901758</v>
      </c>
      <c r="L32">
        <f t="shared" si="22"/>
        <v>-3.1081951754901738</v>
      </c>
      <c r="M32">
        <f t="shared" si="22"/>
        <v>-3.8748031754901753</v>
      </c>
      <c r="N32">
        <f t="shared" si="22"/>
        <v>-4.5647503754901742</v>
      </c>
      <c r="O32">
        <f t="shared" si="22"/>
        <v>-5.2546975754901766</v>
      </c>
      <c r="P32">
        <f t="shared" si="22"/>
        <v>-5.9446447754901754</v>
      </c>
      <c r="Q32">
        <f t="shared" si="22"/>
        <v>-6.6345919754901743</v>
      </c>
      <c r="R32">
        <f t="shared" si="22"/>
        <v>-7.3245391754901732</v>
      </c>
      <c r="S32">
        <f t="shared" si="22"/>
        <v>-8.0144863754901756</v>
      </c>
      <c r="T32">
        <f t="shared" si="22"/>
        <v>-8.7044335754901745</v>
      </c>
      <c r="U32">
        <f t="shared" si="22"/>
        <v>0</v>
      </c>
      <c r="V32">
        <f t="shared" si="22"/>
        <v>0</v>
      </c>
      <c r="W32">
        <f t="shared" si="22"/>
        <v>0</v>
      </c>
      <c r="AC32" s="584">
        <f t="shared" si="20"/>
        <v>-55.766729354901742</v>
      </c>
      <c r="AD32" s="589"/>
    </row>
    <row r="33" spans="1:33">
      <c r="A33" s="588" t="s">
        <v>471</v>
      </c>
      <c r="D33">
        <f t="shared" ref="D33:W33" si="23">D60+D74+D84+D104</f>
        <v>0</v>
      </c>
      <c r="E33">
        <f t="shared" si="23"/>
        <v>0</v>
      </c>
      <c r="F33">
        <f t="shared" si="23"/>
        <v>0</v>
      </c>
      <c r="G33">
        <f t="shared" si="23"/>
        <v>0</v>
      </c>
      <c r="H33">
        <f t="shared" si="23"/>
        <v>0</v>
      </c>
      <c r="I33">
        <f t="shared" si="23"/>
        <v>0</v>
      </c>
      <c r="J33">
        <f t="shared" si="23"/>
        <v>0</v>
      </c>
      <c r="K33">
        <f t="shared" si="23"/>
        <v>0</v>
      </c>
      <c r="L33">
        <f t="shared" si="23"/>
        <v>-3.1081951754901738</v>
      </c>
      <c r="M33">
        <f t="shared" si="23"/>
        <v>-3.8748031754901753</v>
      </c>
      <c r="N33">
        <f t="shared" si="23"/>
        <v>-4.5647503754901742</v>
      </c>
      <c r="O33">
        <f t="shared" si="23"/>
        <v>-5.2546975754901766</v>
      </c>
      <c r="P33">
        <f t="shared" si="23"/>
        <v>-5.9446447754901754</v>
      </c>
      <c r="Q33">
        <f t="shared" si="23"/>
        <v>-6.6345919754901743</v>
      </c>
      <c r="R33">
        <f t="shared" si="23"/>
        <v>-7.3245391754901732</v>
      </c>
      <c r="S33">
        <f t="shared" si="23"/>
        <v>-8.0144863754901756</v>
      </c>
      <c r="T33">
        <f t="shared" si="23"/>
        <v>-8.7044335754901745</v>
      </c>
      <c r="U33">
        <f t="shared" si="23"/>
        <v>-9.3943807754901734</v>
      </c>
      <c r="V33">
        <f t="shared" si="23"/>
        <v>0</v>
      </c>
      <c r="W33">
        <f t="shared" si="23"/>
        <v>0</v>
      </c>
      <c r="AC33" s="584">
        <f t="shared" si="20"/>
        <v>-62.819522954901743</v>
      </c>
      <c r="AD33" s="589"/>
      <c r="AF33" s="572"/>
    </row>
    <row r="34" spans="1:33" ht="14.4" thickBot="1">
      <c r="A34" s="590" t="s">
        <v>473</v>
      </c>
      <c r="B34" s="591"/>
      <c r="C34" s="591"/>
      <c r="D34" s="591">
        <f t="shared" ref="D34:W34" si="24">D61+D75+D85+D105</f>
        <v>0</v>
      </c>
      <c r="E34" s="591">
        <f t="shared" si="24"/>
        <v>0</v>
      </c>
      <c r="F34" s="591">
        <f t="shared" si="24"/>
        <v>0</v>
      </c>
      <c r="G34" s="591">
        <f t="shared" si="24"/>
        <v>0</v>
      </c>
      <c r="H34" s="591">
        <f t="shared" si="24"/>
        <v>0</v>
      </c>
      <c r="I34" s="591">
        <f t="shared" si="24"/>
        <v>0</v>
      </c>
      <c r="J34" s="591">
        <f t="shared" si="24"/>
        <v>0</v>
      </c>
      <c r="K34" s="591">
        <f t="shared" si="24"/>
        <v>0</v>
      </c>
      <c r="L34" s="591">
        <f t="shared" si="24"/>
        <v>0</v>
      </c>
      <c r="M34" s="591">
        <f t="shared" si="24"/>
        <v>-3.8748031754901753</v>
      </c>
      <c r="N34" s="591">
        <f t="shared" si="24"/>
        <v>-4.5647503754901742</v>
      </c>
      <c r="O34" s="591">
        <f t="shared" si="24"/>
        <v>-5.2546975754901766</v>
      </c>
      <c r="P34" s="591">
        <f t="shared" si="24"/>
        <v>-5.9446447754901754</v>
      </c>
      <c r="Q34" s="591">
        <f t="shared" si="24"/>
        <v>-6.6345919754901743</v>
      </c>
      <c r="R34" s="591">
        <f t="shared" si="24"/>
        <v>-7.3245391754901732</v>
      </c>
      <c r="S34" s="591">
        <f t="shared" si="24"/>
        <v>-8.0144863754901756</v>
      </c>
      <c r="T34" s="591">
        <f t="shared" si="24"/>
        <v>-8.7044335754901745</v>
      </c>
      <c r="U34" s="591">
        <f t="shared" si="24"/>
        <v>-9.3943807754901734</v>
      </c>
      <c r="V34" s="591">
        <f t="shared" si="24"/>
        <v>-10.084327975490176</v>
      </c>
      <c r="W34" s="591">
        <f t="shared" si="24"/>
        <v>0</v>
      </c>
      <c r="X34" s="591"/>
      <c r="Y34" s="591"/>
      <c r="Z34" s="591"/>
      <c r="AA34" s="591"/>
      <c r="AB34" s="591"/>
      <c r="AC34" s="592">
        <f t="shared" si="20"/>
        <v>-69.795655754901759</v>
      </c>
      <c r="AD34" s="589"/>
      <c r="AG34" s="601"/>
    </row>
    <row r="35" spans="1:33" ht="14.4" thickTop="1">
      <c r="A35" s="593" t="s">
        <v>451</v>
      </c>
      <c r="B35" s="579"/>
      <c r="C35" s="579"/>
      <c r="D35" s="579">
        <f t="shared" ref="D35:W35" si="25">SUM(D29:D34)</f>
        <v>0</v>
      </c>
      <c r="E35" s="579">
        <f t="shared" si="25"/>
        <v>0</v>
      </c>
      <c r="F35" s="579">
        <f t="shared" si="25"/>
        <v>0</v>
      </c>
      <c r="G35" s="579">
        <f t="shared" si="25"/>
        <v>0</v>
      </c>
      <c r="H35" s="579">
        <f t="shared" si="25"/>
        <v>-4.1763175490174831E-2</v>
      </c>
      <c r="I35" s="579">
        <f t="shared" si="25"/>
        <v>-1.6167423509803527</v>
      </c>
      <c r="J35" s="579">
        <f t="shared" si="25"/>
        <v>-4.7249375264705229</v>
      </c>
      <c r="K35" s="579">
        <f t="shared" si="25"/>
        <v>-9.3663487019607032</v>
      </c>
      <c r="L35" s="579">
        <f t="shared" si="25"/>
        <v>-15.540975877450869</v>
      </c>
      <c r="M35" s="579">
        <f t="shared" si="25"/>
        <v>-23.248819052941052</v>
      </c>
      <c r="N35" s="579">
        <f t="shared" si="25"/>
        <v>-27.388502252941045</v>
      </c>
      <c r="O35" s="579">
        <f t="shared" si="25"/>
        <v>-31.528185452941059</v>
      </c>
      <c r="P35" s="579">
        <f t="shared" si="25"/>
        <v>-35.667868652941053</v>
      </c>
      <c r="Q35" s="579">
        <f t="shared" si="25"/>
        <v>-39.807551852941046</v>
      </c>
      <c r="R35" s="579">
        <f t="shared" si="25"/>
        <v>-36.622695877450866</v>
      </c>
      <c r="S35" s="579">
        <f t="shared" si="25"/>
        <v>-32.057945501960702</v>
      </c>
      <c r="T35" s="579">
        <f t="shared" si="25"/>
        <v>-26.113300726470523</v>
      </c>
      <c r="U35" s="579">
        <f t="shared" si="25"/>
        <v>-18.788761550980347</v>
      </c>
      <c r="V35" s="579">
        <f t="shared" si="25"/>
        <v>-10.084327975490176</v>
      </c>
      <c r="W35" s="579">
        <f t="shared" si="25"/>
        <v>0</v>
      </c>
      <c r="X35" s="579"/>
      <c r="Y35" s="579"/>
      <c r="Z35" s="579"/>
      <c r="AA35" s="579"/>
      <c r="AB35" s="579"/>
      <c r="AC35" s="594">
        <f>SUM(D35:W35)</f>
        <v>-312.59872652941044</v>
      </c>
      <c r="AD35" s="581"/>
      <c r="AG35" s="601"/>
    </row>
    <row r="36" spans="1:33" ht="14.4">
      <c r="A36" s="588" t="s">
        <v>454</v>
      </c>
      <c r="D36" s="572">
        <f>SUM(D29)</f>
        <v>0</v>
      </c>
      <c r="E36" s="572">
        <f t="shared" ref="E36:W36" si="26">SUM(E29)</f>
        <v>0</v>
      </c>
      <c r="F36" s="572">
        <f t="shared" si="26"/>
        <v>0</v>
      </c>
      <c r="G36" s="572">
        <f t="shared" si="26"/>
        <v>0</v>
      </c>
      <c r="H36" s="572">
        <f t="shared" si="26"/>
        <v>-4.1763175490174831E-2</v>
      </c>
      <c r="I36" s="572">
        <f t="shared" si="26"/>
        <v>-0.80837117549017634</v>
      </c>
      <c r="J36" s="572">
        <f t="shared" si="26"/>
        <v>-1.5749791754901743</v>
      </c>
      <c r="K36" s="572">
        <f t="shared" si="26"/>
        <v>-2.3415871754901758</v>
      </c>
      <c r="L36" s="572">
        <f t="shared" si="26"/>
        <v>-3.1081951754901738</v>
      </c>
      <c r="M36" s="572">
        <f t="shared" si="26"/>
        <v>-3.8748031754901753</v>
      </c>
      <c r="N36" s="572">
        <f t="shared" si="26"/>
        <v>-4.5647503754901742</v>
      </c>
      <c r="O36" s="572">
        <f t="shared" si="26"/>
        <v>-5.2546975754901766</v>
      </c>
      <c r="P36" s="572">
        <f t="shared" si="26"/>
        <v>-5.9446447754901754</v>
      </c>
      <c r="Q36" s="572">
        <f t="shared" si="26"/>
        <v>-6.6345919754901743</v>
      </c>
      <c r="R36" s="572">
        <f t="shared" si="26"/>
        <v>0</v>
      </c>
      <c r="S36" s="572">
        <f t="shared" si="26"/>
        <v>0</v>
      </c>
      <c r="T36" s="572">
        <f t="shared" si="26"/>
        <v>0</v>
      </c>
      <c r="U36" s="572">
        <f t="shared" si="26"/>
        <v>0</v>
      </c>
      <c r="V36" s="572">
        <f t="shared" si="26"/>
        <v>0</v>
      </c>
      <c r="W36" s="572">
        <f t="shared" si="26"/>
        <v>0</v>
      </c>
      <c r="X36" s="572"/>
      <c r="Y36" s="572"/>
      <c r="Z36" s="572"/>
      <c r="AA36" s="572"/>
      <c r="AB36" s="572"/>
      <c r="AC36" s="595">
        <f>SUM(D36:W36)</f>
        <v>-34.148383754901751</v>
      </c>
      <c r="AF36" s="603"/>
      <c r="AG36" s="604"/>
    </row>
    <row r="37" spans="1:33" ht="14.4">
      <c r="A37" s="588" t="s">
        <v>455</v>
      </c>
      <c r="D37" s="572">
        <f>SUM(D30:D34)</f>
        <v>0</v>
      </c>
      <c r="E37" s="572">
        <f t="shared" ref="E37:W37" si="27">SUM(E30:E34)</f>
        <v>0</v>
      </c>
      <c r="F37" s="572">
        <f t="shared" si="27"/>
        <v>0</v>
      </c>
      <c r="G37" s="572">
        <f t="shared" si="27"/>
        <v>0</v>
      </c>
      <c r="H37" s="572">
        <f t="shared" si="27"/>
        <v>0</v>
      </c>
      <c r="I37" s="572">
        <f t="shared" si="27"/>
        <v>-0.80837117549017634</v>
      </c>
      <c r="J37" s="572">
        <f t="shared" si="27"/>
        <v>-3.1499583509803486</v>
      </c>
      <c r="K37" s="572">
        <f t="shared" si="27"/>
        <v>-7.0247615264705274</v>
      </c>
      <c r="L37" s="572">
        <f t="shared" si="27"/>
        <v>-12.432780701960695</v>
      </c>
      <c r="M37" s="572">
        <f t="shared" si="27"/>
        <v>-19.374015877450876</v>
      </c>
      <c r="N37" s="572">
        <f t="shared" si="27"/>
        <v>-22.823751877450871</v>
      </c>
      <c r="O37" s="572">
        <f>SUM(O30:O34)</f>
        <v>-26.273487877450883</v>
      </c>
      <c r="P37" s="572">
        <f t="shared" si="27"/>
        <v>-29.723223877450877</v>
      </c>
      <c r="Q37" s="572">
        <f t="shared" si="27"/>
        <v>-33.172959877450872</v>
      </c>
      <c r="R37" s="572">
        <f t="shared" si="27"/>
        <v>-36.622695877450866</v>
      </c>
      <c r="S37" s="572">
        <f t="shared" si="27"/>
        <v>-32.057945501960702</v>
      </c>
      <c r="T37" s="572">
        <f t="shared" si="27"/>
        <v>-26.113300726470523</v>
      </c>
      <c r="U37" s="572">
        <f t="shared" si="27"/>
        <v>-18.788761550980347</v>
      </c>
      <c r="V37" s="572">
        <f t="shared" si="27"/>
        <v>-10.084327975490176</v>
      </c>
      <c r="W37" s="572">
        <f t="shared" si="27"/>
        <v>0</v>
      </c>
      <c r="X37" s="572"/>
      <c r="Y37" s="572"/>
      <c r="Z37" s="572"/>
      <c r="AA37" s="572"/>
      <c r="AB37" s="572"/>
      <c r="AC37" s="595">
        <f>SUM(D37:W37)</f>
        <v>-278.45034277450873</v>
      </c>
      <c r="AF37" s="603"/>
      <c r="AG37" s="601"/>
    </row>
    <row r="39" spans="1:33">
      <c r="A39" s="585" t="s">
        <v>477</v>
      </c>
      <c r="B39" s="586"/>
      <c r="C39" s="586"/>
      <c r="D39" s="586"/>
      <c r="E39" s="586"/>
      <c r="F39" s="586"/>
      <c r="G39" s="586"/>
      <c r="H39" s="586"/>
      <c r="I39" s="586"/>
      <c r="J39" s="586"/>
      <c r="K39" s="586"/>
      <c r="L39" s="586"/>
      <c r="M39" s="586"/>
      <c r="N39" s="586"/>
      <c r="O39" s="586"/>
      <c r="P39" s="586"/>
      <c r="Q39" s="586"/>
      <c r="R39" s="586"/>
      <c r="S39" s="586"/>
      <c r="T39" s="586"/>
      <c r="U39" s="586"/>
      <c r="V39" s="586"/>
      <c r="W39" s="586"/>
      <c r="X39" s="586"/>
      <c r="Y39" s="586"/>
      <c r="Z39" s="586"/>
      <c r="AA39" s="586"/>
      <c r="AB39" s="586"/>
      <c r="AC39" s="586"/>
      <c r="AD39" s="587"/>
      <c r="AF39" s="572"/>
    </row>
    <row r="40" spans="1:33">
      <c r="A40" s="588" t="s">
        <v>465</v>
      </c>
      <c r="D40">
        <f>IF(D29+D7&gt;0,D29+D7,0)</f>
        <v>0</v>
      </c>
      <c r="E40">
        <f t="shared" ref="E40:W40" si="28">IF(E29+E7&gt;0,E29+E7,0)</f>
        <v>0</v>
      </c>
      <c r="F40">
        <f t="shared" si="28"/>
        <v>0</v>
      </c>
      <c r="G40">
        <f t="shared" si="28"/>
        <v>0</v>
      </c>
      <c r="H40">
        <f t="shared" si="28"/>
        <v>5.6527368245098248</v>
      </c>
      <c r="I40">
        <f t="shared" si="28"/>
        <v>4.8861288245098233</v>
      </c>
      <c r="J40">
        <f t="shared" si="28"/>
        <v>4.1195208245098254</v>
      </c>
      <c r="K40">
        <f t="shared" si="28"/>
        <v>3.3529128245098239</v>
      </c>
      <c r="L40">
        <f t="shared" si="28"/>
        <v>2.5863048245098259</v>
      </c>
      <c r="M40">
        <f t="shared" si="28"/>
        <v>1.8196968245098244</v>
      </c>
      <c r="N40">
        <f t="shared" si="28"/>
        <v>1.1297496245098255</v>
      </c>
      <c r="O40">
        <f t="shared" si="28"/>
        <v>0.4398024245098231</v>
      </c>
      <c r="P40">
        <f t="shared" si="28"/>
        <v>0</v>
      </c>
      <c r="Q40">
        <f t="shared" si="28"/>
        <v>0</v>
      </c>
      <c r="R40">
        <f t="shared" si="28"/>
        <v>0</v>
      </c>
      <c r="S40">
        <f t="shared" si="28"/>
        <v>0</v>
      </c>
      <c r="T40">
        <f t="shared" si="28"/>
        <v>0</v>
      </c>
      <c r="U40">
        <f t="shared" si="28"/>
        <v>0</v>
      </c>
      <c r="V40">
        <f t="shared" si="28"/>
        <v>0</v>
      </c>
      <c r="W40">
        <f t="shared" si="28"/>
        <v>0</v>
      </c>
      <c r="AC40" s="584">
        <f>SUM(D40:W40)</f>
        <v>23.986852996078596</v>
      </c>
      <c r="AD40" s="589"/>
      <c r="AG40" s="601"/>
    </row>
    <row r="41" spans="1:33">
      <c r="A41" s="588" t="s">
        <v>467</v>
      </c>
      <c r="D41">
        <f t="shared" ref="D41:W41" si="29">IF(D30+D8&gt;0,D30+D8,0)</f>
        <v>0</v>
      </c>
      <c r="E41">
        <f t="shared" si="29"/>
        <v>0</v>
      </c>
      <c r="F41">
        <f t="shared" si="29"/>
        <v>0</v>
      </c>
      <c r="G41">
        <f t="shared" si="29"/>
        <v>0</v>
      </c>
      <c r="H41">
        <f t="shared" si="29"/>
        <v>0</v>
      </c>
      <c r="I41">
        <f t="shared" si="29"/>
        <v>4.8861288245098233</v>
      </c>
      <c r="J41">
        <f t="shared" si="29"/>
        <v>4.1195208245098254</v>
      </c>
      <c r="K41">
        <f t="shared" si="29"/>
        <v>3.3529128245098239</v>
      </c>
      <c r="L41">
        <f t="shared" si="29"/>
        <v>2.5863048245098259</v>
      </c>
      <c r="M41">
        <f t="shared" si="29"/>
        <v>1.8196968245098244</v>
      </c>
      <c r="N41">
        <f t="shared" si="29"/>
        <v>1.1297496245098255</v>
      </c>
      <c r="O41">
        <f t="shared" si="29"/>
        <v>0.4398024245098231</v>
      </c>
      <c r="P41">
        <f t="shared" si="29"/>
        <v>0</v>
      </c>
      <c r="Q41">
        <f t="shared" si="29"/>
        <v>0</v>
      </c>
      <c r="R41">
        <f t="shared" si="29"/>
        <v>0</v>
      </c>
      <c r="S41">
        <f t="shared" si="29"/>
        <v>0</v>
      </c>
      <c r="T41">
        <f t="shared" si="29"/>
        <v>0</v>
      </c>
      <c r="U41">
        <f t="shared" si="29"/>
        <v>0</v>
      </c>
      <c r="V41">
        <f t="shared" si="29"/>
        <v>0</v>
      </c>
      <c r="W41">
        <f t="shared" si="29"/>
        <v>0</v>
      </c>
      <c r="AC41" s="584">
        <f t="shared" ref="AC41:AC45" si="30">SUM(D41:W41)</f>
        <v>18.334116171568773</v>
      </c>
      <c r="AD41" s="589"/>
      <c r="AG41" s="601"/>
    </row>
    <row r="42" spans="1:33" ht="14.4">
      <c r="A42" s="588" t="s">
        <v>468</v>
      </c>
      <c r="D42">
        <f t="shared" ref="D42:W42" si="31">IF(D31+D9&gt;0,D31+D9,0)</f>
        <v>0</v>
      </c>
      <c r="E42">
        <f t="shared" si="31"/>
        <v>0</v>
      </c>
      <c r="F42">
        <f t="shared" si="31"/>
        <v>0</v>
      </c>
      <c r="G42">
        <f t="shared" si="31"/>
        <v>0</v>
      </c>
      <c r="H42">
        <f t="shared" si="31"/>
        <v>0</v>
      </c>
      <c r="I42">
        <f t="shared" si="31"/>
        <v>0</v>
      </c>
      <c r="J42">
        <f t="shared" si="31"/>
        <v>4.1195208245098254</v>
      </c>
      <c r="K42">
        <f t="shared" si="31"/>
        <v>3.3529128245098239</v>
      </c>
      <c r="L42">
        <f t="shared" si="31"/>
        <v>2.5863048245098259</v>
      </c>
      <c r="M42">
        <f t="shared" si="31"/>
        <v>1.8196968245098244</v>
      </c>
      <c r="N42">
        <f t="shared" si="31"/>
        <v>1.1297496245098255</v>
      </c>
      <c r="O42">
        <f t="shared" si="31"/>
        <v>0.4398024245098231</v>
      </c>
      <c r="P42">
        <f t="shared" si="31"/>
        <v>0</v>
      </c>
      <c r="Q42">
        <f t="shared" si="31"/>
        <v>0</v>
      </c>
      <c r="R42">
        <f t="shared" si="31"/>
        <v>0</v>
      </c>
      <c r="S42">
        <f t="shared" si="31"/>
        <v>0</v>
      </c>
      <c r="T42">
        <f t="shared" si="31"/>
        <v>0</v>
      </c>
      <c r="U42">
        <f t="shared" si="31"/>
        <v>0</v>
      </c>
      <c r="V42">
        <f t="shared" si="31"/>
        <v>0</v>
      </c>
      <c r="W42">
        <f t="shared" si="31"/>
        <v>0</v>
      </c>
      <c r="AC42" s="584">
        <f t="shared" si="30"/>
        <v>13.447987347058948</v>
      </c>
      <c r="AD42" s="589"/>
      <c r="AF42" s="603"/>
      <c r="AG42" s="604"/>
    </row>
    <row r="43" spans="1:33" ht="14.4">
      <c r="A43" s="588" t="s">
        <v>469</v>
      </c>
      <c r="D43">
        <f t="shared" ref="D43:W43" si="32">IF(D32+D10&gt;0,D32+D10,0)</f>
        <v>0</v>
      </c>
      <c r="E43">
        <f t="shared" si="32"/>
        <v>0</v>
      </c>
      <c r="F43">
        <f t="shared" si="32"/>
        <v>0</v>
      </c>
      <c r="G43">
        <f t="shared" si="32"/>
        <v>0</v>
      </c>
      <c r="H43">
        <f t="shared" si="32"/>
        <v>0</v>
      </c>
      <c r="I43">
        <f t="shared" si="32"/>
        <v>0</v>
      </c>
      <c r="J43">
        <f t="shared" si="32"/>
        <v>0</v>
      </c>
      <c r="K43">
        <f t="shared" si="32"/>
        <v>3.3529128245098239</v>
      </c>
      <c r="L43">
        <f t="shared" si="32"/>
        <v>2.5863048245098259</v>
      </c>
      <c r="M43">
        <f t="shared" si="32"/>
        <v>1.8196968245098244</v>
      </c>
      <c r="N43">
        <f t="shared" si="32"/>
        <v>1.1297496245098255</v>
      </c>
      <c r="O43">
        <f t="shared" si="32"/>
        <v>0.4398024245098231</v>
      </c>
      <c r="P43">
        <f t="shared" si="32"/>
        <v>0</v>
      </c>
      <c r="Q43">
        <f t="shared" si="32"/>
        <v>0</v>
      </c>
      <c r="R43">
        <f t="shared" si="32"/>
        <v>0</v>
      </c>
      <c r="S43">
        <f t="shared" si="32"/>
        <v>0</v>
      </c>
      <c r="T43">
        <f t="shared" si="32"/>
        <v>0</v>
      </c>
      <c r="U43">
        <f t="shared" si="32"/>
        <v>0</v>
      </c>
      <c r="V43">
        <f t="shared" si="32"/>
        <v>0</v>
      </c>
      <c r="W43">
        <f t="shared" si="32"/>
        <v>0</v>
      </c>
      <c r="AC43" s="584">
        <f t="shared" si="30"/>
        <v>9.3284665225491228</v>
      </c>
      <c r="AD43" s="589"/>
      <c r="AF43" s="603"/>
      <c r="AG43" s="601"/>
    </row>
    <row r="44" spans="1:33">
      <c r="A44" s="588" t="s">
        <v>471</v>
      </c>
      <c r="D44">
        <f t="shared" ref="D44:W44" si="33">IF(D33+D11&gt;0,D33+D11,0)</f>
        <v>0</v>
      </c>
      <c r="E44">
        <f t="shared" si="33"/>
        <v>0</v>
      </c>
      <c r="F44">
        <f t="shared" si="33"/>
        <v>0</v>
      </c>
      <c r="G44">
        <f t="shared" si="33"/>
        <v>0</v>
      </c>
      <c r="H44">
        <f t="shared" si="33"/>
        <v>0</v>
      </c>
      <c r="I44">
        <f t="shared" si="33"/>
        <v>0</v>
      </c>
      <c r="J44">
        <f t="shared" si="33"/>
        <v>0</v>
      </c>
      <c r="K44">
        <f t="shared" si="33"/>
        <v>0</v>
      </c>
      <c r="L44">
        <f t="shared" si="33"/>
        <v>2.5863048245098259</v>
      </c>
      <c r="M44">
        <f t="shared" si="33"/>
        <v>1.8196968245098244</v>
      </c>
      <c r="N44">
        <f t="shared" si="33"/>
        <v>1.1297496245098255</v>
      </c>
      <c r="O44">
        <f t="shared" si="33"/>
        <v>0.4398024245098231</v>
      </c>
      <c r="P44">
        <f t="shared" si="33"/>
        <v>0</v>
      </c>
      <c r="Q44">
        <f t="shared" si="33"/>
        <v>0</v>
      </c>
      <c r="R44">
        <f t="shared" si="33"/>
        <v>0</v>
      </c>
      <c r="S44">
        <f t="shared" si="33"/>
        <v>0</v>
      </c>
      <c r="T44">
        <f t="shared" si="33"/>
        <v>0</v>
      </c>
      <c r="U44">
        <f t="shared" si="33"/>
        <v>0</v>
      </c>
      <c r="V44">
        <f t="shared" si="33"/>
        <v>0</v>
      </c>
      <c r="W44">
        <f t="shared" si="33"/>
        <v>0</v>
      </c>
      <c r="AC44" s="584">
        <f t="shared" si="30"/>
        <v>5.9755536980392989</v>
      </c>
      <c r="AD44" s="589"/>
    </row>
    <row r="45" spans="1:33" ht="14.4" thickBot="1">
      <c r="A45" s="590" t="s">
        <v>473</v>
      </c>
      <c r="B45" s="591"/>
      <c r="C45" s="591"/>
      <c r="D45" s="591">
        <f>IF(D34+D12&gt;0,D34+D12,0)</f>
        <v>0</v>
      </c>
      <c r="E45" s="591">
        <f t="shared" ref="E45:W45" si="34">IF(E34+E12&gt;0,E34+E12,0)</f>
        <v>0</v>
      </c>
      <c r="F45" s="591">
        <f t="shared" si="34"/>
        <v>0</v>
      </c>
      <c r="G45" s="591">
        <f t="shared" si="34"/>
        <v>0</v>
      </c>
      <c r="H45" s="591">
        <f t="shared" si="34"/>
        <v>0</v>
      </c>
      <c r="I45" s="591">
        <f t="shared" si="34"/>
        <v>0</v>
      </c>
      <c r="J45" s="591">
        <f t="shared" si="34"/>
        <v>0</v>
      </c>
      <c r="K45" s="591">
        <f t="shared" si="34"/>
        <v>0</v>
      </c>
      <c r="L45" s="591">
        <f t="shared" si="34"/>
        <v>0</v>
      </c>
      <c r="M45" s="591">
        <f t="shared" si="34"/>
        <v>1.8196968245098244</v>
      </c>
      <c r="N45" s="591">
        <f t="shared" si="34"/>
        <v>1.1297496245098255</v>
      </c>
      <c r="O45" s="591">
        <f t="shared" si="34"/>
        <v>0.4398024245098231</v>
      </c>
      <c r="P45" s="591">
        <f t="shared" si="34"/>
        <v>0</v>
      </c>
      <c r="Q45" s="591">
        <f t="shared" si="34"/>
        <v>0</v>
      </c>
      <c r="R45" s="591">
        <f t="shared" si="34"/>
        <v>0</v>
      </c>
      <c r="S45" s="591">
        <f t="shared" si="34"/>
        <v>0</v>
      </c>
      <c r="T45" s="591">
        <f t="shared" si="34"/>
        <v>0</v>
      </c>
      <c r="U45" s="591">
        <f t="shared" si="34"/>
        <v>0</v>
      </c>
      <c r="V45" s="591">
        <f t="shared" si="34"/>
        <v>0</v>
      </c>
      <c r="W45" s="591">
        <f t="shared" si="34"/>
        <v>0</v>
      </c>
      <c r="X45" s="591"/>
      <c r="Y45" s="591"/>
      <c r="Z45" s="591"/>
      <c r="AA45" s="591"/>
      <c r="AB45" s="591"/>
      <c r="AC45" s="592">
        <f t="shared" si="30"/>
        <v>3.389248873529473</v>
      </c>
      <c r="AD45" s="589"/>
      <c r="AG45" s="601"/>
    </row>
    <row r="46" spans="1:33" ht="14.4" thickTop="1">
      <c r="A46" s="593" t="s">
        <v>451</v>
      </c>
      <c r="B46" s="579"/>
      <c r="C46" s="579"/>
      <c r="D46" s="579">
        <f t="shared" ref="D46:W46" si="35">SUM(D40:D45)</f>
        <v>0</v>
      </c>
      <c r="E46" s="579">
        <f t="shared" si="35"/>
        <v>0</v>
      </c>
      <c r="F46" s="579">
        <f t="shared" si="35"/>
        <v>0</v>
      </c>
      <c r="G46" s="579">
        <f t="shared" si="35"/>
        <v>0</v>
      </c>
      <c r="H46" s="579">
        <f t="shared" si="35"/>
        <v>5.6527368245098248</v>
      </c>
      <c r="I46" s="579">
        <f t="shared" si="35"/>
        <v>9.7722576490196467</v>
      </c>
      <c r="J46" s="579">
        <f t="shared" si="35"/>
        <v>12.358562473529476</v>
      </c>
      <c r="K46" s="579">
        <f t="shared" si="35"/>
        <v>13.411651298039295</v>
      </c>
      <c r="L46" s="579">
        <f t="shared" si="35"/>
        <v>12.93152412254913</v>
      </c>
      <c r="M46" s="579">
        <f t="shared" si="35"/>
        <v>10.918180947058946</v>
      </c>
      <c r="N46" s="579">
        <f t="shared" si="35"/>
        <v>6.7784977470589531</v>
      </c>
      <c r="O46" s="579">
        <f t="shared" si="35"/>
        <v>2.6388145470589386</v>
      </c>
      <c r="P46" s="579">
        <f t="shared" si="35"/>
        <v>0</v>
      </c>
      <c r="Q46" s="579">
        <f t="shared" si="35"/>
        <v>0</v>
      </c>
      <c r="R46" s="579">
        <f t="shared" si="35"/>
        <v>0</v>
      </c>
      <c r="S46" s="579">
        <f t="shared" si="35"/>
        <v>0</v>
      </c>
      <c r="T46" s="579">
        <f t="shared" si="35"/>
        <v>0</v>
      </c>
      <c r="U46" s="579">
        <f t="shared" si="35"/>
        <v>0</v>
      </c>
      <c r="V46" s="579">
        <f t="shared" si="35"/>
        <v>0</v>
      </c>
      <c r="W46" s="579">
        <f t="shared" si="35"/>
        <v>0</v>
      </c>
      <c r="X46" s="579"/>
      <c r="Y46" s="579"/>
      <c r="Z46" s="579"/>
      <c r="AA46" s="579"/>
      <c r="AB46" s="579"/>
      <c r="AC46" s="594">
        <f>SUM(D46:W46)</f>
        <v>74.462225608824212</v>
      </c>
      <c r="AD46" s="581"/>
      <c r="AG46" s="601"/>
    </row>
    <row r="47" spans="1:33" ht="14.4">
      <c r="A47" s="588" t="s">
        <v>454</v>
      </c>
      <c r="D47" s="572">
        <f>SUM(D40)</f>
        <v>0</v>
      </c>
      <c r="E47" s="572">
        <f t="shared" ref="E47:W47" si="36">SUM(E40)</f>
        <v>0</v>
      </c>
      <c r="F47" s="572">
        <f t="shared" si="36"/>
        <v>0</v>
      </c>
      <c r="G47" s="572">
        <f t="shared" si="36"/>
        <v>0</v>
      </c>
      <c r="H47" s="572">
        <f>SUM(H40)</f>
        <v>5.6527368245098248</v>
      </c>
      <c r="I47" s="572">
        <f t="shared" si="36"/>
        <v>4.8861288245098233</v>
      </c>
      <c r="J47" s="572">
        <f>SUM(J40)</f>
        <v>4.1195208245098254</v>
      </c>
      <c r="K47" s="572">
        <f t="shared" si="36"/>
        <v>3.3529128245098239</v>
      </c>
      <c r="L47" s="572">
        <f t="shared" si="36"/>
        <v>2.5863048245098259</v>
      </c>
      <c r="M47" s="572">
        <f t="shared" si="36"/>
        <v>1.8196968245098244</v>
      </c>
      <c r="N47" s="572">
        <f t="shared" si="36"/>
        <v>1.1297496245098255</v>
      </c>
      <c r="O47" s="572">
        <f t="shared" si="36"/>
        <v>0.4398024245098231</v>
      </c>
      <c r="P47" s="572">
        <f t="shared" si="36"/>
        <v>0</v>
      </c>
      <c r="Q47" s="572">
        <f t="shared" si="36"/>
        <v>0</v>
      </c>
      <c r="R47" s="572">
        <f t="shared" si="36"/>
        <v>0</v>
      </c>
      <c r="S47" s="572">
        <f t="shared" si="36"/>
        <v>0</v>
      </c>
      <c r="T47" s="572">
        <f t="shared" si="36"/>
        <v>0</v>
      </c>
      <c r="U47" s="572">
        <f t="shared" si="36"/>
        <v>0</v>
      </c>
      <c r="V47" s="572">
        <f t="shared" si="36"/>
        <v>0</v>
      </c>
      <c r="W47" s="572">
        <f t="shared" si="36"/>
        <v>0</v>
      </c>
      <c r="X47" s="572"/>
      <c r="Y47" s="572"/>
      <c r="Z47" s="572"/>
      <c r="AA47" s="572"/>
      <c r="AB47" s="572"/>
      <c r="AC47" s="595">
        <f>SUM(D47:W47)</f>
        <v>23.986852996078596</v>
      </c>
      <c r="AF47" s="603"/>
      <c r="AG47" s="604"/>
    </row>
    <row r="48" spans="1:33">
      <c r="A48" s="588" t="s">
        <v>455</v>
      </c>
      <c r="D48" s="572">
        <f>SUM(D41:D45)</f>
        <v>0</v>
      </c>
      <c r="E48" s="572">
        <f t="shared" ref="E48:W48" si="37">SUM(E41:E45)</f>
        <v>0</v>
      </c>
      <c r="F48" s="572">
        <f t="shared" si="37"/>
        <v>0</v>
      </c>
      <c r="G48" s="572">
        <f t="shared" si="37"/>
        <v>0</v>
      </c>
      <c r="H48" s="572">
        <f t="shared" si="37"/>
        <v>0</v>
      </c>
      <c r="I48" s="572">
        <f t="shared" si="37"/>
        <v>4.8861288245098233</v>
      </c>
      <c r="J48" s="572">
        <f>SUM(J41:J45)</f>
        <v>8.2390416490196507</v>
      </c>
      <c r="K48" s="572">
        <f t="shared" si="37"/>
        <v>10.058738473529472</v>
      </c>
      <c r="L48" s="572">
        <f t="shared" si="37"/>
        <v>10.345219298039304</v>
      </c>
      <c r="M48" s="572">
        <f t="shared" si="37"/>
        <v>9.098484122549122</v>
      </c>
      <c r="N48" s="572">
        <f t="shared" si="37"/>
        <v>5.6487481225491276</v>
      </c>
      <c r="O48" s="572">
        <f>SUM(O41:O45)</f>
        <v>2.1990121225491155</v>
      </c>
      <c r="P48" s="572">
        <f t="shared" si="37"/>
        <v>0</v>
      </c>
      <c r="Q48" s="572">
        <f t="shared" si="37"/>
        <v>0</v>
      </c>
      <c r="R48" s="572">
        <f t="shared" si="37"/>
        <v>0</v>
      </c>
      <c r="S48" s="572">
        <f t="shared" si="37"/>
        <v>0</v>
      </c>
      <c r="T48" s="572">
        <f t="shared" si="37"/>
        <v>0</v>
      </c>
      <c r="U48" s="572">
        <f t="shared" si="37"/>
        <v>0</v>
      </c>
      <c r="V48" s="572">
        <f t="shared" si="37"/>
        <v>0</v>
      </c>
      <c r="W48" s="572">
        <f t="shared" si="37"/>
        <v>0</v>
      </c>
      <c r="X48" s="572"/>
      <c r="Y48" s="572"/>
      <c r="Z48" s="572"/>
      <c r="AA48" s="572"/>
      <c r="AB48" s="572"/>
      <c r="AC48" s="595">
        <f>SUM(D48:W48)</f>
        <v>50.475372612745616</v>
      </c>
    </row>
    <row r="49" spans="1:33">
      <c r="AF49" s="572"/>
    </row>
    <row r="50" spans="1:33">
      <c r="A50" s="605" t="s">
        <v>478</v>
      </c>
      <c r="B50" s="575"/>
      <c r="C50" s="575"/>
      <c r="D50" s="575"/>
      <c r="E50" s="575"/>
      <c r="F50" s="575"/>
      <c r="G50" s="575"/>
      <c r="H50" s="575"/>
      <c r="I50" s="575"/>
      <c r="J50" s="575"/>
      <c r="K50" s="575"/>
      <c r="L50" s="575"/>
      <c r="M50" s="575"/>
      <c r="N50" s="575"/>
      <c r="O50" s="575"/>
      <c r="P50" s="575"/>
      <c r="Q50" s="575"/>
      <c r="R50" s="575"/>
      <c r="S50" s="575"/>
      <c r="T50" s="575"/>
      <c r="U50" s="575"/>
      <c r="V50" s="575"/>
      <c r="W50" s="575"/>
      <c r="X50" s="575"/>
      <c r="Y50" s="575"/>
      <c r="Z50" s="575"/>
      <c r="AA50" s="575"/>
      <c r="AB50" s="575"/>
      <c r="AC50" s="575"/>
      <c r="AD50" s="576"/>
      <c r="AG50" s="601"/>
    </row>
    <row r="51" spans="1:33">
      <c r="A51" s="588" t="s">
        <v>419</v>
      </c>
      <c r="B51" s="600" t="str">
        <f>AJ3</f>
        <v>Ausgangsszenario</v>
      </c>
      <c r="AD51" s="589"/>
    </row>
    <row r="52" spans="1:33">
      <c r="A52" s="588" t="s">
        <v>479</v>
      </c>
      <c r="B52" s="600" t="str">
        <f>AN3</f>
        <v>Ausgangsszenario</v>
      </c>
      <c r="AD52" s="589"/>
    </row>
    <row r="53" spans="1:33">
      <c r="A53" s="588" t="s">
        <v>480</v>
      </c>
      <c r="B53" s="600" t="str">
        <f>AL3</f>
        <v>Ausgangsszenario</v>
      </c>
      <c r="AD53" s="589"/>
      <c r="AF53" s="572"/>
    </row>
    <row r="54" spans="1:33">
      <c r="A54" s="588" t="s">
        <v>481</v>
      </c>
      <c r="B54" s="600" t="str">
        <f>AG11</f>
        <v>Ausgangsszenario</v>
      </c>
      <c r="D54">
        <f>HLOOKUP(D$2,'Daten Markthochlauf'!$N$8:$AG$11,VLOOKUP($AG$11,'Daten Markthochlauf'!$L$9:$M$11,2,FALSE),FALSE)</f>
        <v>50</v>
      </c>
      <c r="E54">
        <f>HLOOKUP(E$2,'Daten Markthochlauf'!$N$8:$AG$11,VLOOKUP($AG$11,'Daten Markthochlauf'!$L$9:$M$11,2,FALSE),FALSE)</f>
        <v>50</v>
      </c>
      <c r="F54">
        <f>HLOOKUP(F$2,'Daten Markthochlauf'!$N$8:$AG$11,VLOOKUP($AG$11,'Daten Markthochlauf'!$L$9:$M$11,2,FALSE),FALSE)</f>
        <v>50</v>
      </c>
      <c r="G54">
        <f>HLOOKUP(G$2,'Daten Markthochlauf'!$N$8:$AG$11,VLOOKUP($AG$11,'Daten Markthochlauf'!$L$9:$M$11,2,FALSE),FALSE)</f>
        <v>50</v>
      </c>
      <c r="H54">
        <f>HLOOKUP(H$2,'Daten Markthochlauf'!$N$8:$AG$11,VLOOKUP($AG$11,'Daten Markthochlauf'!$L$9:$M$11,2,FALSE),FALSE)</f>
        <v>50</v>
      </c>
      <c r="I54">
        <f>HLOOKUP(I$2,'Daten Markthochlauf'!$N$8:$AG$11,VLOOKUP($AG$11,'Daten Markthochlauf'!$L$9:$M$11,2,FALSE),FALSE)</f>
        <v>50</v>
      </c>
      <c r="J54">
        <f>HLOOKUP(J$2,'Daten Markthochlauf'!$N$8:$AG$11,VLOOKUP($AG$11,'Daten Markthochlauf'!$L$9:$M$11,2,FALSE),FALSE)</f>
        <v>50</v>
      </c>
      <c r="K54">
        <f>HLOOKUP(K$2,'Daten Markthochlauf'!$N$8:$AG$11,VLOOKUP($AG$11,'Daten Markthochlauf'!$L$9:$M$11,2,FALSE),FALSE)</f>
        <v>50</v>
      </c>
      <c r="L54">
        <f>HLOOKUP(L$2,'Daten Markthochlauf'!$N$8:$AG$11,VLOOKUP($AG$11,'Daten Markthochlauf'!$L$9:$M$11,2,FALSE),FALSE)</f>
        <v>50</v>
      </c>
      <c r="M54">
        <f>HLOOKUP(M$2,'Daten Markthochlauf'!$N$8:$AG$11,VLOOKUP($AG$11,'Daten Markthochlauf'!$L$9:$M$11,2,FALSE),FALSE)</f>
        <v>50</v>
      </c>
      <c r="N54">
        <f>HLOOKUP(N$2,'Daten Markthochlauf'!$N$8:$AG$11,VLOOKUP($AG$11,'Daten Markthochlauf'!$L$9:$M$11,2,FALSE),FALSE)</f>
        <v>50</v>
      </c>
      <c r="O54">
        <f>HLOOKUP(O$2,'Daten Markthochlauf'!$N$8:$AG$11,VLOOKUP($AG$11,'Daten Markthochlauf'!$L$9:$M$11,2,FALSE),FALSE)</f>
        <v>50</v>
      </c>
      <c r="P54">
        <f>HLOOKUP(P$2,'Daten Markthochlauf'!$N$8:$AG$11,VLOOKUP($AG$11,'Daten Markthochlauf'!$L$9:$M$11,2,FALSE),FALSE)</f>
        <v>50</v>
      </c>
      <c r="Q54">
        <f>HLOOKUP(Q$2,'Daten Markthochlauf'!$N$8:$AG$11,VLOOKUP($AG$11,'Daten Markthochlauf'!$L$9:$M$11,2,FALSE),FALSE)</f>
        <v>50</v>
      </c>
      <c r="R54">
        <f>HLOOKUP(R$2,'Daten Markthochlauf'!$N$8:$AG$11,VLOOKUP($AG$11,'Daten Markthochlauf'!$L$9:$M$11,2,FALSE),FALSE)</f>
        <v>50</v>
      </c>
      <c r="S54">
        <f>HLOOKUP(S$2,'Daten Markthochlauf'!$N$8:$AG$11,VLOOKUP($AG$11,'Daten Markthochlauf'!$L$9:$M$11,2,FALSE),FALSE)</f>
        <v>50</v>
      </c>
      <c r="T54">
        <f>HLOOKUP(T$2,'Daten Markthochlauf'!$N$8:$AG$11,VLOOKUP($AG$11,'Daten Markthochlauf'!$L$9:$M$11,2,FALSE),FALSE)</f>
        <v>50</v>
      </c>
      <c r="U54">
        <f>HLOOKUP(U$2,'Daten Markthochlauf'!$N$8:$AG$11,VLOOKUP($AG$11,'Daten Markthochlauf'!$L$9:$M$11,2,FALSE),FALSE)</f>
        <v>50</v>
      </c>
      <c r="V54">
        <f>HLOOKUP(V$2,'Daten Markthochlauf'!$N$8:$AG$11,VLOOKUP($AG$11,'Daten Markthochlauf'!$L$9:$M$11,2,FALSE),FALSE)</f>
        <v>50</v>
      </c>
      <c r="W54">
        <f>HLOOKUP(W$2,'Daten Markthochlauf'!$N$8:$AG$11,VLOOKUP($AG$11,'Daten Markthochlauf'!$L$9:$M$11,2,FALSE),FALSE)</f>
        <v>50</v>
      </c>
      <c r="AD54" s="589"/>
      <c r="AG54" s="583"/>
    </row>
    <row r="55" spans="1:33">
      <c r="A55" s="588"/>
      <c r="AD55" s="589"/>
      <c r="AG55" s="583"/>
    </row>
    <row r="56" spans="1:33">
      <c r="A56" s="588" t="s">
        <v>465</v>
      </c>
      <c r="D56">
        <f t="shared" ref="D56:W56" si="38">D20*(($AN$14-$AL$14)+D$54*($AU$13-$AR$13)+($AU$12-$AR$12)+($AU$11-$AR$11)+$AU$14)</f>
        <v>0</v>
      </c>
      <c r="E56">
        <f t="shared" si="38"/>
        <v>0</v>
      </c>
      <c r="F56">
        <f t="shared" si="38"/>
        <v>0</v>
      </c>
      <c r="G56">
        <f t="shared" si="38"/>
        <v>0</v>
      </c>
      <c r="H56">
        <f t="shared" si="38"/>
        <v>6.8566627245098237</v>
      </c>
      <c r="I56">
        <f t="shared" si="38"/>
        <v>6.8566627245098237</v>
      </c>
      <c r="J56">
        <f t="shared" si="38"/>
        <v>6.8566627245098237</v>
      </c>
      <c r="K56">
        <f t="shared" si="38"/>
        <v>6.8566627245098237</v>
      </c>
      <c r="L56">
        <f t="shared" si="38"/>
        <v>6.8566627245098237</v>
      </c>
      <c r="M56">
        <f t="shared" si="38"/>
        <v>6.8566627245098237</v>
      </c>
      <c r="N56">
        <f t="shared" si="38"/>
        <v>6.8566627245098237</v>
      </c>
      <c r="O56">
        <f t="shared" si="38"/>
        <v>6.8566627245098237</v>
      </c>
      <c r="P56">
        <f t="shared" si="38"/>
        <v>6.8566627245098237</v>
      </c>
      <c r="Q56">
        <f t="shared" si="38"/>
        <v>6.8566627245098237</v>
      </c>
      <c r="R56">
        <f t="shared" si="38"/>
        <v>0</v>
      </c>
      <c r="S56">
        <f t="shared" si="38"/>
        <v>0</v>
      </c>
      <c r="T56">
        <f t="shared" si="38"/>
        <v>0</v>
      </c>
      <c r="U56">
        <f t="shared" si="38"/>
        <v>0</v>
      </c>
      <c r="V56">
        <f t="shared" si="38"/>
        <v>0</v>
      </c>
      <c r="W56">
        <f t="shared" si="38"/>
        <v>0</v>
      </c>
      <c r="AC56" s="584">
        <f>SUM(D56:W56)</f>
        <v>68.566627245098232</v>
      </c>
      <c r="AD56" s="589"/>
    </row>
    <row r="57" spans="1:33">
      <c r="A57" s="588" t="s">
        <v>467</v>
      </c>
      <c r="D57">
        <f t="shared" ref="D57:W57" si="39">D21*(($AN$14-$AL$14)+D$54*($AU$13-$AR$13)+($AU$12-$AR$12)+($AU$11-$AR$11)+$AU$14)</f>
        <v>0</v>
      </c>
      <c r="E57">
        <f t="shared" si="39"/>
        <v>0</v>
      </c>
      <c r="F57">
        <f t="shared" si="39"/>
        <v>0</v>
      </c>
      <c r="G57">
        <f t="shared" si="39"/>
        <v>0</v>
      </c>
      <c r="H57">
        <f t="shared" si="39"/>
        <v>0</v>
      </c>
      <c r="I57">
        <f t="shared" si="39"/>
        <v>6.8566627245098237</v>
      </c>
      <c r="J57">
        <f t="shared" si="39"/>
        <v>6.8566627245098237</v>
      </c>
      <c r="K57">
        <f t="shared" si="39"/>
        <v>6.8566627245098237</v>
      </c>
      <c r="L57">
        <f t="shared" si="39"/>
        <v>6.8566627245098237</v>
      </c>
      <c r="M57">
        <f t="shared" si="39"/>
        <v>6.8566627245098237</v>
      </c>
      <c r="N57">
        <f t="shared" si="39"/>
        <v>6.8566627245098237</v>
      </c>
      <c r="O57">
        <f t="shared" si="39"/>
        <v>6.8566627245098237</v>
      </c>
      <c r="P57">
        <f t="shared" si="39"/>
        <v>6.8566627245098237</v>
      </c>
      <c r="Q57">
        <f t="shared" si="39"/>
        <v>6.8566627245098237</v>
      </c>
      <c r="R57">
        <f t="shared" si="39"/>
        <v>6.8566627245098237</v>
      </c>
      <c r="S57">
        <f t="shared" si="39"/>
        <v>0</v>
      </c>
      <c r="T57">
        <f t="shared" si="39"/>
        <v>0</v>
      </c>
      <c r="U57">
        <f t="shared" si="39"/>
        <v>0</v>
      </c>
      <c r="V57">
        <f t="shared" si="39"/>
        <v>0</v>
      </c>
      <c r="W57">
        <f t="shared" si="39"/>
        <v>0</v>
      </c>
      <c r="AC57" s="584">
        <f t="shared" ref="AC57:AC61" si="40">SUM(D57:W57)</f>
        <v>68.566627245098232</v>
      </c>
      <c r="AD57" s="589"/>
    </row>
    <row r="58" spans="1:33">
      <c r="A58" s="588" t="s">
        <v>468</v>
      </c>
      <c r="D58">
        <f t="shared" ref="D58:W58" si="41">D22*(($AN$14-$AL$14)+D$54*($AU$13-$AR$13)+($AU$12-$AR$12)+($AU$11-$AR$11)+$AU$14)</f>
        <v>0</v>
      </c>
      <c r="E58">
        <f t="shared" si="41"/>
        <v>0</v>
      </c>
      <c r="F58">
        <f t="shared" si="41"/>
        <v>0</v>
      </c>
      <c r="G58">
        <f t="shared" si="41"/>
        <v>0</v>
      </c>
      <c r="H58">
        <f t="shared" si="41"/>
        <v>0</v>
      </c>
      <c r="I58">
        <f t="shared" si="41"/>
        <v>0</v>
      </c>
      <c r="J58">
        <f t="shared" si="41"/>
        <v>6.8566627245098237</v>
      </c>
      <c r="K58">
        <f t="shared" si="41"/>
        <v>6.8566627245098237</v>
      </c>
      <c r="L58">
        <f t="shared" si="41"/>
        <v>6.8566627245098237</v>
      </c>
      <c r="M58">
        <f t="shared" si="41"/>
        <v>6.8566627245098237</v>
      </c>
      <c r="N58">
        <f t="shared" si="41"/>
        <v>6.8566627245098237</v>
      </c>
      <c r="O58">
        <f t="shared" si="41"/>
        <v>6.8566627245098237</v>
      </c>
      <c r="P58">
        <f t="shared" si="41"/>
        <v>6.8566627245098237</v>
      </c>
      <c r="Q58">
        <f t="shared" si="41"/>
        <v>6.8566627245098237</v>
      </c>
      <c r="R58">
        <f t="shared" si="41"/>
        <v>6.8566627245098237</v>
      </c>
      <c r="S58">
        <f t="shared" si="41"/>
        <v>6.8566627245098237</v>
      </c>
      <c r="T58">
        <f t="shared" si="41"/>
        <v>0</v>
      </c>
      <c r="U58">
        <f t="shared" si="41"/>
        <v>0</v>
      </c>
      <c r="V58">
        <f t="shared" si="41"/>
        <v>0</v>
      </c>
      <c r="W58">
        <f t="shared" si="41"/>
        <v>0</v>
      </c>
      <c r="AC58" s="584">
        <f t="shared" si="40"/>
        <v>68.566627245098232</v>
      </c>
      <c r="AD58" s="589"/>
    </row>
    <row r="59" spans="1:33">
      <c r="A59" s="588" t="s">
        <v>469</v>
      </c>
      <c r="D59">
        <f t="shared" ref="D59:W59" si="42">D23*(($AN$14-$AL$14)+D$54*($AU$13-$AR$13)+($AU$12-$AR$12)+($AU$11-$AR$11)+$AU$14)</f>
        <v>0</v>
      </c>
      <c r="E59">
        <f t="shared" si="42"/>
        <v>0</v>
      </c>
      <c r="F59">
        <f t="shared" si="42"/>
        <v>0</v>
      </c>
      <c r="G59">
        <f t="shared" si="42"/>
        <v>0</v>
      </c>
      <c r="H59">
        <f t="shared" si="42"/>
        <v>0</v>
      </c>
      <c r="I59">
        <f t="shared" si="42"/>
        <v>0</v>
      </c>
      <c r="J59">
        <f t="shared" si="42"/>
        <v>0</v>
      </c>
      <c r="K59">
        <f t="shared" si="42"/>
        <v>6.8566627245098237</v>
      </c>
      <c r="L59">
        <f t="shared" si="42"/>
        <v>6.8566627245098237</v>
      </c>
      <c r="M59">
        <f t="shared" si="42"/>
        <v>6.8566627245098237</v>
      </c>
      <c r="N59">
        <f t="shared" si="42"/>
        <v>6.8566627245098237</v>
      </c>
      <c r="O59">
        <f t="shared" si="42"/>
        <v>6.8566627245098237</v>
      </c>
      <c r="P59">
        <f t="shared" si="42"/>
        <v>6.8566627245098237</v>
      </c>
      <c r="Q59">
        <f t="shared" si="42"/>
        <v>6.8566627245098237</v>
      </c>
      <c r="R59">
        <f t="shared" si="42"/>
        <v>6.8566627245098237</v>
      </c>
      <c r="S59">
        <f t="shared" si="42"/>
        <v>6.8566627245098237</v>
      </c>
      <c r="T59">
        <f t="shared" si="42"/>
        <v>6.8566627245098237</v>
      </c>
      <c r="U59">
        <f t="shared" si="42"/>
        <v>0</v>
      </c>
      <c r="V59">
        <f t="shared" si="42"/>
        <v>0</v>
      </c>
      <c r="W59">
        <f t="shared" si="42"/>
        <v>0</v>
      </c>
      <c r="AC59" s="584">
        <f t="shared" si="40"/>
        <v>68.566627245098232</v>
      </c>
      <c r="AD59" s="589"/>
    </row>
    <row r="60" spans="1:33">
      <c r="A60" s="588" t="s">
        <v>471</v>
      </c>
      <c r="D60">
        <f t="shared" ref="D60:W60" si="43">D24*(($AN$14-$AL$14)+D$54*($AU$13-$AR$13)+($AU$12-$AR$12)+($AU$11-$AR$11)+$AU$14)</f>
        <v>0</v>
      </c>
      <c r="E60">
        <f t="shared" si="43"/>
        <v>0</v>
      </c>
      <c r="F60">
        <f t="shared" si="43"/>
        <v>0</v>
      </c>
      <c r="G60">
        <f t="shared" si="43"/>
        <v>0</v>
      </c>
      <c r="H60">
        <f t="shared" si="43"/>
        <v>0</v>
      </c>
      <c r="I60">
        <f t="shared" si="43"/>
        <v>0</v>
      </c>
      <c r="J60">
        <f t="shared" si="43"/>
        <v>0</v>
      </c>
      <c r="K60">
        <f t="shared" si="43"/>
        <v>0</v>
      </c>
      <c r="L60">
        <f t="shared" si="43"/>
        <v>6.8566627245098237</v>
      </c>
      <c r="M60">
        <f t="shared" si="43"/>
        <v>6.8566627245098237</v>
      </c>
      <c r="N60">
        <f t="shared" si="43"/>
        <v>6.8566627245098237</v>
      </c>
      <c r="O60">
        <f t="shared" si="43"/>
        <v>6.8566627245098237</v>
      </c>
      <c r="P60">
        <f t="shared" si="43"/>
        <v>6.8566627245098237</v>
      </c>
      <c r="Q60">
        <f t="shared" si="43"/>
        <v>6.8566627245098237</v>
      </c>
      <c r="R60">
        <f t="shared" si="43"/>
        <v>6.8566627245098237</v>
      </c>
      <c r="S60">
        <f t="shared" si="43"/>
        <v>6.8566627245098237</v>
      </c>
      <c r="T60">
        <f t="shared" si="43"/>
        <v>6.8566627245098237</v>
      </c>
      <c r="U60">
        <f t="shared" si="43"/>
        <v>6.8566627245098237</v>
      </c>
      <c r="V60">
        <f t="shared" si="43"/>
        <v>0</v>
      </c>
      <c r="W60">
        <f t="shared" si="43"/>
        <v>0</v>
      </c>
      <c r="AC60" s="584">
        <f t="shared" si="40"/>
        <v>68.566627245098232</v>
      </c>
      <c r="AD60" s="589"/>
    </row>
    <row r="61" spans="1:33" ht="14.4" thickBot="1">
      <c r="A61" s="590" t="s">
        <v>473</v>
      </c>
      <c r="B61" s="591"/>
      <c r="C61" s="591"/>
      <c r="D61" s="591">
        <f t="shared" ref="D61:W61" si="44">D25*(($AN$14-$AL$14)+D$54*($AU$13-$AR$13)+($AU$12-$AR$12)+($AU$11-$AR$11)+$AU$14)</f>
        <v>0</v>
      </c>
      <c r="E61" s="591">
        <f t="shared" si="44"/>
        <v>0</v>
      </c>
      <c r="F61" s="591">
        <f t="shared" si="44"/>
        <v>0</v>
      </c>
      <c r="G61" s="591">
        <f t="shared" si="44"/>
        <v>0</v>
      </c>
      <c r="H61" s="591">
        <f t="shared" si="44"/>
        <v>0</v>
      </c>
      <c r="I61" s="591">
        <f t="shared" si="44"/>
        <v>0</v>
      </c>
      <c r="J61" s="591">
        <f t="shared" si="44"/>
        <v>0</v>
      </c>
      <c r="K61" s="591">
        <f t="shared" si="44"/>
        <v>0</v>
      </c>
      <c r="L61" s="591">
        <f t="shared" si="44"/>
        <v>0</v>
      </c>
      <c r="M61" s="591">
        <f t="shared" si="44"/>
        <v>6.8566627245098237</v>
      </c>
      <c r="N61" s="591">
        <f t="shared" si="44"/>
        <v>6.8566627245098237</v>
      </c>
      <c r="O61" s="591">
        <f t="shared" si="44"/>
        <v>6.8566627245098237</v>
      </c>
      <c r="P61" s="591">
        <f t="shared" si="44"/>
        <v>6.8566627245098237</v>
      </c>
      <c r="Q61" s="591">
        <f t="shared" si="44"/>
        <v>6.8566627245098237</v>
      </c>
      <c r="R61" s="591">
        <f t="shared" si="44"/>
        <v>6.8566627245098237</v>
      </c>
      <c r="S61" s="591">
        <f t="shared" si="44"/>
        <v>6.8566627245098237</v>
      </c>
      <c r="T61" s="591">
        <f t="shared" si="44"/>
        <v>6.8566627245098237</v>
      </c>
      <c r="U61" s="591">
        <f t="shared" si="44"/>
        <v>6.8566627245098237</v>
      </c>
      <c r="V61" s="591">
        <f t="shared" si="44"/>
        <v>6.8566627245098237</v>
      </c>
      <c r="W61" s="591">
        <f t="shared" si="44"/>
        <v>0</v>
      </c>
      <c r="X61" s="591"/>
      <c r="Y61" s="591"/>
      <c r="Z61" s="591"/>
      <c r="AA61" s="591"/>
      <c r="AB61" s="591"/>
      <c r="AC61" s="592">
        <f t="shared" si="40"/>
        <v>68.566627245098232</v>
      </c>
      <c r="AD61" s="589"/>
    </row>
    <row r="62" spans="1:33" ht="14.4" thickTop="1">
      <c r="A62" s="593" t="s">
        <v>451</v>
      </c>
      <c r="B62" s="579"/>
      <c r="C62" s="579"/>
      <c r="D62" s="579">
        <f t="shared" ref="D62:W62" si="45">SUM(D56:D61)</f>
        <v>0</v>
      </c>
      <c r="E62" s="579">
        <f t="shared" si="45"/>
        <v>0</v>
      </c>
      <c r="F62" s="579">
        <f t="shared" si="45"/>
        <v>0</v>
      </c>
      <c r="G62" s="579">
        <f t="shared" si="45"/>
        <v>0</v>
      </c>
      <c r="H62" s="579">
        <f t="shared" si="45"/>
        <v>6.8566627245098237</v>
      </c>
      <c r="I62" s="579">
        <f t="shared" si="45"/>
        <v>13.713325449019647</v>
      </c>
      <c r="J62" s="579">
        <f t="shared" si="45"/>
        <v>20.56998817352947</v>
      </c>
      <c r="K62" s="579">
        <f t="shared" si="45"/>
        <v>27.426650898039295</v>
      </c>
      <c r="L62" s="579">
        <f t="shared" si="45"/>
        <v>34.283313622549116</v>
      </c>
      <c r="M62" s="579">
        <f t="shared" si="45"/>
        <v>41.139976347058941</v>
      </c>
      <c r="N62" s="579">
        <f t="shared" si="45"/>
        <v>41.139976347058941</v>
      </c>
      <c r="O62" s="579">
        <f t="shared" si="45"/>
        <v>41.139976347058941</v>
      </c>
      <c r="P62" s="579">
        <f t="shared" si="45"/>
        <v>41.139976347058941</v>
      </c>
      <c r="Q62" s="579">
        <f t="shared" si="45"/>
        <v>41.139976347058941</v>
      </c>
      <c r="R62" s="579">
        <f t="shared" si="45"/>
        <v>34.283313622549116</v>
      </c>
      <c r="S62" s="579">
        <f t="shared" si="45"/>
        <v>27.426650898039295</v>
      </c>
      <c r="T62" s="579">
        <f t="shared" si="45"/>
        <v>20.56998817352947</v>
      </c>
      <c r="U62" s="579">
        <f t="shared" si="45"/>
        <v>13.713325449019647</v>
      </c>
      <c r="V62" s="579">
        <f t="shared" si="45"/>
        <v>6.8566627245098237</v>
      </c>
      <c r="W62" s="579">
        <f t="shared" si="45"/>
        <v>0</v>
      </c>
      <c r="X62" s="579"/>
      <c r="Y62" s="579"/>
      <c r="Z62" s="579"/>
      <c r="AA62" s="579"/>
      <c r="AB62" s="579"/>
      <c r="AC62" s="594">
        <f>SUM(D62:W62)</f>
        <v>411.39976347058939</v>
      </c>
      <c r="AD62" s="581"/>
    </row>
    <row r="64" spans="1:33">
      <c r="A64" s="605" t="s">
        <v>488</v>
      </c>
      <c r="B64" s="575"/>
      <c r="C64" s="575"/>
      <c r="D64" s="575"/>
      <c r="E64" s="575"/>
      <c r="F64" s="575"/>
      <c r="G64" s="575"/>
      <c r="H64" s="575"/>
      <c r="I64" s="575"/>
      <c r="J64" s="575"/>
      <c r="K64" s="575"/>
      <c r="L64" s="575"/>
      <c r="M64" s="575"/>
      <c r="N64" s="575"/>
      <c r="O64" s="575"/>
      <c r="P64" s="575"/>
      <c r="Q64" s="575"/>
      <c r="R64" s="575"/>
      <c r="S64" s="575"/>
      <c r="T64" s="575"/>
      <c r="U64" s="575"/>
      <c r="V64" s="575"/>
      <c r="W64" s="575"/>
      <c r="X64" s="575"/>
      <c r="Y64" s="575"/>
      <c r="Z64" s="575"/>
      <c r="AA64" s="575"/>
      <c r="AB64" s="575"/>
      <c r="AC64" s="575"/>
      <c r="AD64" s="576"/>
    </row>
    <row r="65" spans="1:36">
      <c r="A65" s="588" t="s">
        <v>489</v>
      </c>
      <c r="B65" s="600" t="str">
        <f>AG15</f>
        <v>Ausgangsszenario</v>
      </c>
      <c r="D65">
        <f>HLOOKUP(D$2,'Daten Markthochlauf'!$N$13:$AG$16,VLOOKUP($AG$15,'Daten Markthochlauf'!$L$14:$M$16,2,FALSE),FALSE)</f>
        <v>50</v>
      </c>
      <c r="E65">
        <f>HLOOKUP(E$2,'Daten Markthochlauf'!$N$13:$AG$16,VLOOKUP($AG$15,'Daten Markthochlauf'!$L$14:$M$16,2,FALSE),FALSE)</f>
        <v>52.222222222222221</v>
      </c>
      <c r="F65">
        <f>HLOOKUP(F$2,'Daten Markthochlauf'!$N$13:$AG$16,VLOOKUP($AG$15,'Daten Markthochlauf'!$L$14:$M$16,2,FALSE),FALSE)</f>
        <v>54.444444444444443</v>
      </c>
      <c r="G65">
        <f>HLOOKUP(G$2,'Daten Markthochlauf'!$N$13:$AG$16,VLOOKUP($AG$15,'Daten Markthochlauf'!$L$14:$M$16,2,FALSE),FALSE)</f>
        <v>56.666666666666664</v>
      </c>
      <c r="H65">
        <f>HLOOKUP(H$2,'Daten Markthochlauf'!$N$13:$AG$16,VLOOKUP($AG$15,'Daten Markthochlauf'!$L$14:$M$16,2,FALSE),FALSE)</f>
        <v>58.888888888888886</v>
      </c>
      <c r="I65">
        <f>HLOOKUP(I$2,'Daten Markthochlauf'!$N$13:$AG$16,VLOOKUP($AG$15,'Daten Markthochlauf'!$L$14:$M$16,2,FALSE),FALSE)</f>
        <v>61.111111111111114</v>
      </c>
      <c r="J65">
        <f>HLOOKUP(J$2,'Daten Markthochlauf'!$N$13:$AG$16,VLOOKUP($AG$15,'Daten Markthochlauf'!$L$14:$M$16,2,FALSE),FALSE)</f>
        <v>63.333333333333336</v>
      </c>
      <c r="K65">
        <f>HLOOKUP(K$2,'Daten Markthochlauf'!$N$13:$AG$16,VLOOKUP($AG$15,'Daten Markthochlauf'!$L$14:$M$16,2,FALSE),FALSE)</f>
        <v>65.555555555555557</v>
      </c>
      <c r="L65">
        <f>HLOOKUP(L$2,'Daten Markthochlauf'!$N$13:$AG$16,VLOOKUP($AG$15,'Daten Markthochlauf'!$L$14:$M$16,2,FALSE),FALSE)</f>
        <v>67.777777777777771</v>
      </c>
      <c r="M65">
        <f>HLOOKUP(M$2,'Daten Markthochlauf'!$N$13:$AG$16,VLOOKUP($AG$15,'Daten Markthochlauf'!$L$14:$M$16,2,FALSE),FALSE)</f>
        <v>70</v>
      </c>
      <c r="N65">
        <f>HLOOKUP(N$2,'Daten Markthochlauf'!$N$13:$AG$16,VLOOKUP($AG$15,'Daten Markthochlauf'!$L$14:$M$16,2,FALSE),FALSE)</f>
        <v>72</v>
      </c>
      <c r="O65">
        <f>HLOOKUP(O$2,'Daten Markthochlauf'!$N$13:$AG$16,VLOOKUP($AG$15,'Daten Markthochlauf'!$L$14:$M$16,2,FALSE),FALSE)</f>
        <v>74</v>
      </c>
      <c r="P65">
        <f>HLOOKUP(P$2,'Daten Markthochlauf'!$N$13:$AG$16,VLOOKUP($AG$15,'Daten Markthochlauf'!$L$14:$M$16,2,FALSE),FALSE)</f>
        <v>76</v>
      </c>
      <c r="Q65">
        <f>HLOOKUP(Q$2,'Daten Markthochlauf'!$N$13:$AG$16,VLOOKUP($AG$15,'Daten Markthochlauf'!$L$14:$M$16,2,FALSE),FALSE)</f>
        <v>78</v>
      </c>
      <c r="R65">
        <f>HLOOKUP(R$2,'Daten Markthochlauf'!$N$13:$AG$16,VLOOKUP($AG$15,'Daten Markthochlauf'!$L$14:$M$16,2,FALSE),FALSE)</f>
        <v>80</v>
      </c>
      <c r="S65">
        <f>HLOOKUP(S$2,'Daten Markthochlauf'!$N$13:$AG$16,VLOOKUP($AG$15,'Daten Markthochlauf'!$L$14:$M$16,2,FALSE),FALSE)</f>
        <v>82</v>
      </c>
      <c r="T65">
        <f>HLOOKUP(T$2,'Daten Markthochlauf'!$N$13:$AG$16,VLOOKUP($AG$15,'Daten Markthochlauf'!$L$14:$M$16,2,FALSE),FALSE)</f>
        <v>84</v>
      </c>
      <c r="U65">
        <f>HLOOKUP(U$2,'Daten Markthochlauf'!$N$13:$AG$16,VLOOKUP($AG$15,'Daten Markthochlauf'!$L$14:$M$16,2,FALSE),FALSE)</f>
        <v>86</v>
      </c>
      <c r="V65">
        <f>HLOOKUP(V$2,'Daten Markthochlauf'!$N$13:$AG$16,VLOOKUP($AG$15,'Daten Markthochlauf'!$L$14:$M$16,2,FALSE),FALSE)</f>
        <v>88</v>
      </c>
      <c r="W65">
        <f>HLOOKUP(W$2,'Daten Markthochlauf'!$N$13:$AG$16,VLOOKUP($AG$15,'Daten Markthochlauf'!$L$14:$M$16,2,FALSE),FALSE)</f>
        <v>90</v>
      </c>
      <c r="AD65" s="589"/>
      <c r="AF65" s="572"/>
    </row>
    <row r="66" spans="1:36">
      <c r="A66" s="588" t="s">
        <v>526</v>
      </c>
      <c r="B66" s="600" t="str">
        <f>$AJ$28</f>
        <v>Vorschlag der EC</v>
      </c>
      <c r="D66">
        <f>HLOOKUP(D$2,'Daten Markthochlauf'!$N$24:$AG$26,VLOOKUP($AJ$28,'Daten Markthochlauf'!$L$25:$M$26,2,FALSE),FALSE)</f>
        <v>0.66733333333333333</v>
      </c>
      <c r="E66">
        <f>HLOOKUP(E$2,'Daten Markthochlauf'!$N$24:$AG$26,VLOOKUP($AJ$28,'Daten Markthochlauf'!$L$25:$M$26,2,FALSE),FALSE)</f>
        <v>0.66733333333333333</v>
      </c>
      <c r="F66">
        <f>HLOOKUP(F$2,'Daten Markthochlauf'!$N$24:$AG$26,VLOOKUP($AJ$28,'Daten Markthochlauf'!$L$25:$M$26,2,FALSE),FALSE)</f>
        <v>0.66733333333333333</v>
      </c>
      <c r="G66">
        <f>HLOOKUP(G$2,'Daten Markthochlauf'!$N$24:$AG$26,VLOOKUP($AJ$28,'Daten Markthochlauf'!$L$25:$M$26,2,FALSE),FALSE)</f>
        <v>0.66733333333333333</v>
      </c>
      <c r="H66">
        <f>HLOOKUP(H$2,'Daten Markthochlauf'!$N$24:$AG$26,VLOOKUP($AJ$28,'Daten Markthochlauf'!$L$25:$M$26,2,FALSE),FALSE)</f>
        <v>0.66733333333333333</v>
      </c>
      <c r="I66">
        <f>HLOOKUP(I$2,'Daten Markthochlauf'!$N$24:$AG$26,VLOOKUP($AJ$28,'Daten Markthochlauf'!$L$25:$M$26,2,FALSE),FALSE)</f>
        <v>0.60060000000000002</v>
      </c>
      <c r="J66">
        <f>HLOOKUP(J$2,'Daten Markthochlauf'!$N$24:$AG$26,VLOOKUP($AJ$28,'Daten Markthochlauf'!$L$25:$M$26,2,FALSE),FALSE)</f>
        <v>0.53386666666666671</v>
      </c>
      <c r="K66">
        <f>HLOOKUP(K$2,'Daten Markthochlauf'!$N$24:$AG$26,VLOOKUP($AJ$28,'Daten Markthochlauf'!$L$25:$M$26,2,FALSE),FALSE)</f>
        <v>0.46713333333333329</v>
      </c>
      <c r="L66">
        <f>HLOOKUP(L$2,'Daten Markthochlauf'!$N$24:$AG$26,VLOOKUP($AJ$28,'Daten Markthochlauf'!$L$25:$M$26,2,FALSE),FALSE)</f>
        <v>0.40039999999999998</v>
      </c>
      <c r="M66">
        <f>HLOOKUP(M$2,'Daten Markthochlauf'!$N$24:$AG$26,VLOOKUP($AJ$28,'Daten Markthochlauf'!$L$25:$M$26,2,FALSE),FALSE)</f>
        <v>0.33366666666666667</v>
      </c>
      <c r="N66">
        <f>HLOOKUP(N$2,'Daten Markthochlauf'!$N$24:$AG$26,VLOOKUP($AJ$28,'Daten Markthochlauf'!$L$25:$M$26,2,FALSE),FALSE)</f>
        <v>0.26693333333333336</v>
      </c>
      <c r="O66">
        <f>HLOOKUP(O$2,'Daten Markthochlauf'!$N$24:$AG$26,VLOOKUP($AJ$28,'Daten Markthochlauf'!$L$25:$M$26,2,FALSE),FALSE)</f>
        <v>0.20019999999999999</v>
      </c>
      <c r="P66">
        <f>HLOOKUP(P$2,'Daten Markthochlauf'!$N$24:$AG$26,VLOOKUP($AJ$28,'Daten Markthochlauf'!$L$25:$M$26,2,FALSE),FALSE)</f>
        <v>0.13346666666666668</v>
      </c>
      <c r="Q66">
        <f>HLOOKUP(Q$2,'Daten Markthochlauf'!$N$24:$AG$26,VLOOKUP($AJ$28,'Daten Markthochlauf'!$L$25:$M$26,2,FALSE),FALSE)</f>
        <v>6.6733333333333339E-2</v>
      </c>
      <c r="R66">
        <f>HLOOKUP(R$2,'Daten Markthochlauf'!$N$24:$AG$26,VLOOKUP($AJ$28,'Daten Markthochlauf'!$L$25:$M$26,2,FALSE),FALSE)</f>
        <v>0</v>
      </c>
      <c r="S66">
        <f>HLOOKUP(S$2,'Daten Markthochlauf'!$N$24:$AG$26,VLOOKUP($AJ$28,'Daten Markthochlauf'!$L$25:$M$26,2,FALSE),FALSE)</f>
        <v>0</v>
      </c>
      <c r="T66">
        <f>HLOOKUP(T$2,'Daten Markthochlauf'!$N$24:$AG$26,VLOOKUP($AJ$28,'Daten Markthochlauf'!$L$25:$M$26,2,FALSE),FALSE)</f>
        <v>0</v>
      </c>
      <c r="U66">
        <f>HLOOKUP(U$2,'Daten Markthochlauf'!$N$24:$AG$26,VLOOKUP($AJ$28,'Daten Markthochlauf'!$L$25:$M$26,2,FALSE),FALSE)</f>
        <v>0</v>
      </c>
      <c r="V66">
        <f>HLOOKUP(V$2,'Daten Markthochlauf'!$N$24:$AG$26,VLOOKUP($AJ$28,'Daten Markthochlauf'!$L$25:$M$26,2,FALSE),FALSE)</f>
        <v>0</v>
      </c>
      <c r="W66">
        <f>HLOOKUP(W$2,'Daten Markthochlauf'!$N$24:$AG$26,VLOOKUP($AJ$28,'Daten Markthochlauf'!$L$25:$M$26,2,FALSE),FALSE)</f>
        <v>0</v>
      </c>
      <c r="AD66" s="589"/>
      <c r="AF66" s="572"/>
    </row>
    <row r="67" spans="1:36">
      <c r="A67" s="588" t="s">
        <v>531</v>
      </c>
      <c r="B67" s="600" t="str">
        <f>$AJ$28</f>
        <v>Vorschlag der EC</v>
      </c>
      <c r="D67">
        <f>HLOOKUP(D$2,'Daten Markthochlauf'!$N$29:$AG$31,VLOOKUP($AJ$28,'Daten Markthochlauf'!$L$30:$M$31,2,FALSE),FALSE)</f>
        <v>0.66733333333333333</v>
      </c>
      <c r="E67">
        <f>HLOOKUP(E$2,'Daten Markthochlauf'!$N$29:$AG$31,VLOOKUP($AJ$28,'Daten Markthochlauf'!$L$30:$M$31,2,FALSE),FALSE)</f>
        <v>0.66733333333333333</v>
      </c>
      <c r="F67">
        <f>HLOOKUP(F$2,'Daten Markthochlauf'!$N$29:$AG$31,VLOOKUP($AJ$28,'Daten Markthochlauf'!$L$30:$M$31,2,FALSE),FALSE)</f>
        <v>0.66733333333333333</v>
      </c>
      <c r="G67">
        <f>HLOOKUP(G$2,'Daten Markthochlauf'!$N$29:$AG$31,VLOOKUP($AJ$28,'Daten Markthochlauf'!$L$30:$M$31,2,FALSE),FALSE)</f>
        <v>0.66733333333333333</v>
      </c>
      <c r="H67">
        <f>HLOOKUP(H$2,'Daten Markthochlauf'!$N$29:$AG$31,VLOOKUP($AJ$28,'Daten Markthochlauf'!$L$30:$M$31,2,FALSE),FALSE)</f>
        <v>0.66733333333333333</v>
      </c>
      <c r="I67">
        <f>HLOOKUP(I$2,'Daten Markthochlauf'!$N$29:$AG$31,VLOOKUP($AJ$28,'Daten Markthochlauf'!$L$30:$M$31,2,FALSE),FALSE)</f>
        <v>0.60060000000000002</v>
      </c>
      <c r="J67">
        <f>HLOOKUP(J$2,'Daten Markthochlauf'!$N$29:$AG$31,VLOOKUP($AJ$28,'Daten Markthochlauf'!$L$30:$M$31,2,FALSE),FALSE)</f>
        <v>0.53386666666666671</v>
      </c>
      <c r="K67">
        <f>HLOOKUP(K$2,'Daten Markthochlauf'!$N$29:$AG$31,VLOOKUP($AJ$28,'Daten Markthochlauf'!$L$30:$M$31,2,FALSE),FALSE)</f>
        <v>0.46713333333333329</v>
      </c>
      <c r="L67">
        <f>HLOOKUP(L$2,'Daten Markthochlauf'!$N$29:$AG$31,VLOOKUP($AJ$28,'Daten Markthochlauf'!$L$30:$M$31,2,FALSE),FALSE)</f>
        <v>0.40039999999999998</v>
      </c>
      <c r="M67">
        <f>HLOOKUP(M$2,'Daten Markthochlauf'!$N$29:$AG$31,VLOOKUP($AJ$28,'Daten Markthochlauf'!$L$30:$M$31,2,FALSE),FALSE)</f>
        <v>0.33366666666666667</v>
      </c>
      <c r="N67">
        <f>HLOOKUP(N$2,'Daten Markthochlauf'!$N$29:$AG$31,VLOOKUP($AJ$28,'Daten Markthochlauf'!$L$30:$M$31,2,FALSE),FALSE)</f>
        <v>0.26693333333333336</v>
      </c>
      <c r="O67">
        <f>HLOOKUP(O$2,'Daten Markthochlauf'!$N$29:$AG$31,VLOOKUP($AJ$28,'Daten Markthochlauf'!$L$30:$M$31,2,FALSE),FALSE)</f>
        <v>0.20019999999999999</v>
      </c>
      <c r="P67">
        <f>HLOOKUP(P$2,'Daten Markthochlauf'!$N$29:$AG$31,VLOOKUP($AJ$28,'Daten Markthochlauf'!$L$30:$M$31,2,FALSE),FALSE)</f>
        <v>0.13346666666666668</v>
      </c>
      <c r="Q67">
        <f>HLOOKUP(Q$2,'Daten Markthochlauf'!$N$29:$AG$31,VLOOKUP($AJ$28,'Daten Markthochlauf'!$L$30:$M$31,2,FALSE),FALSE)</f>
        <v>6.6733333333333339E-2</v>
      </c>
      <c r="R67">
        <f>HLOOKUP(R$2,'Daten Markthochlauf'!$N$29:$AG$31,VLOOKUP($AJ$28,'Daten Markthochlauf'!$L$30:$M$31,2,FALSE),FALSE)</f>
        <v>0</v>
      </c>
      <c r="S67">
        <f>HLOOKUP(S$2,'Daten Markthochlauf'!$N$29:$AG$31,VLOOKUP($AJ$28,'Daten Markthochlauf'!$L$30:$M$31,2,FALSE),FALSE)</f>
        <v>0</v>
      </c>
      <c r="T67">
        <f>HLOOKUP(T$2,'Daten Markthochlauf'!$N$29:$AG$31,VLOOKUP($AJ$28,'Daten Markthochlauf'!$L$30:$M$31,2,FALSE),FALSE)</f>
        <v>0</v>
      </c>
      <c r="U67">
        <f>HLOOKUP(U$2,'Daten Markthochlauf'!$N$29:$AG$31,VLOOKUP($AJ$28,'Daten Markthochlauf'!$L$30:$M$31,2,FALSE),FALSE)</f>
        <v>0</v>
      </c>
      <c r="V67">
        <f>HLOOKUP(V$2,'Daten Markthochlauf'!$N$29:$AG$31,VLOOKUP($AJ$28,'Daten Markthochlauf'!$L$30:$M$31,2,FALSE),FALSE)</f>
        <v>0</v>
      </c>
      <c r="W67">
        <f>HLOOKUP(W$2,'Daten Markthochlauf'!$N$29:$AG$31,VLOOKUP($AJ$28,'Daten Markthochlauf'!$L$30:$M$31,2,FALSE),FALSE)</f>
        <v>0</v>
      </c>
      <c r="AD67" s="589"/>
      <c r="AF67" s="572"/>
    </row>
    <row r="68" spans="1:36">
      <c r="A68" s="588"/>
      <c r="B68" s="626"/>
      <c r="AD68" s="589"/>
      <c r="AF68" s="572"/>
    </row>
    <row r="69" spans="1:36">
      <c r="A69" s="588"/>
      <c r="AD69" s="589"/>
      <c r="AJ69" t="s">
        <v>482</v>
      </c>
    </row>
    <row r="70" spans="1:36">
      <c r="A70" s="588" t="s">
        <v>465</v>
      </c>
      <c r="D70">
        <f t="shared" ref="D70:W70" si="46">D$65*D20*(($AK$25-$AJ$25)+($AL$29-$AK$29))</f>
        <v>0</v>
      </c>
      <c r="E70">
        <f t="shared" si="46"/>
        <v>0</v>
      </c>
      <c r="F70">
        <f t="shared" si="46"/>
        <v>0</v>
      </c>
      <c r="G70">
        <f t="shared" si="46"/>
        <v>0</v>
      </c>
      <c r="H70">
        <f t="shared" si="46"/>
        <v>-20.315111999999999</v>
      </c>
      <c r="I70">
        <f t="shared" si="46"/>
        <v>-21.081720000000001</v>
      </c>
      <c r="J70">
        <f t="shared" si="46"/>
        <v>-21.848327999999999</v>
      </c>
      <c r="K70">
        <f t="shared" si="46"/>
        <v>-22.614936</v>
      </c>
      <c r="L70">
        <f t="shared" si="46"/>
        <v>-23.381543999999998</v>
      </c>
      <c r="M70">
        <f t="shared" si="46"/>
        <v>-24.148152</v>
      </c>
      <c r="N70">
        <f t="shared" si="46"/>
        <v>-24.838099199999998</v>
      </c>
      <c r="O70">
        <f t="shared" si="46"/>
        <v>-25.528046400000001</v>
      </c>
      <c r="P70">
        <f t="shared" si="46"/>
        <v>-26.2179936</v>
      </c>
      <c r="Q70">
        <f t="shared" si="46"/>
        <v>-26.907940799999999</v>
      </c>
      <c r="R70">
        <f t="shared" si="46"/>
        <v>0</v>
      </c>
      <c r="S70">
        <f t="shared" si="46"/>
        <v>0</v>
      </c>
      <c r="T70">
        <f t="shared" si="46"/>
        <v>0</v>
      </c>
      <c r="U70">
        <f t="shared" si="46"/>
        <v>0</v>
      </c>
      <c r="V70">
        <f t="shared" si="46"/>
        <v>0</v>
      </c>
      <c r="W70">
        <f t="shared" si="46"/>
        <v>0</v>
      </c>
      <c r="AC70" s="584">
        <f>SUM(D70:W70)</f>
        <v>-236.88187199999999</v>
      </c>
      <c r="AD70" s="589"/>
      <c r="AJ70" t="s">
        <v>483</v>
      </c>
    </row>
    <row r="71" spans="1:36">
      <c r="A71" s="588" t="s">
        <v>467</v>
      </c>
      <c r="D71">
        <f t="shared" ref="D71:W71" si="47">D$65*D21*(($AK$25-$AJ$25)+($AL$29-$AK$29))</f>
        <v>0</v>
      </c>
      <c r="E71">
        <f t="shared" si="47"/>
        <v>0</v>
      </c>
      <c r="F71">
        <f t="shared" si="47"/>
        <v>0</v>
      </c>
      <c r="G71">
        <f t="shared" si="47"/>
        <v>0</v>
      </c>
      <c r="H71">
        <f t="shared" si="47"/>
        <v>0</v>
      </c>
      <c r="I71">
        <f t="shared" si="47"/>
        <v>-21.081720000000001</v>
      </c>
      <c r="J71">
        <f t="shared" si="47"/>
        <v>-21.848327999999999</v>
      </c>
      <c r="K71">
        <f t="shared" si="47"/>
        <v>-22.614936</v>
      </c>
      <c r="L71">
        <f t="shared" si="47"/>
        <v>-23.381543999999998</v>
      </c>
      <c r="M71">
        <f t="shared" si="47"/>
        <v>-24.148152</v>
      </c>
      <c r="N71">
        <f t="shared" si="47"/>
        <v>-24.838099199999998</v>
      </c>
      <c r="O71">
        <f t="shared" si="47"/>
        <v>-25.528046400000001</v>
      </c>
      <c r="P71">
        <f t="shared" si="47"/>
        <v>-26.2179936</v>
      </c>
      <c r="Q71">
        <f t="shared" si="47"/>
        <v>-26.907940799999999</v>
      </c>
      <c r="R71">
        <f t="shared" si="47"/>
        <v>-27.597887999999998</v>
      </c>
      <c r="S71">
        <f t="shared" si="47"/>
        <v>0</v>
      </c>
      <c r="T71">
        <f t="shared" si="47"/>
        <v>0</v>
      </c>
      <c r="U71">
        <f t="shared" si="47"/>
        <v>0</v>
      </c>
      <c r="V71">
        <f t="shared" si="47"/>
        <v>0</v>
      </c>
      <c r="W71">
        <f t="shared" si="47"/>
        <v>0</v>
      </c>
      <c r="AC71" s="584">
        <f t="shared" ref="AC71:AC75" si="48">SUM(D71:W71)</f>
        <v>-244.164648</v>
      </c>
      <c r="AD71" s="589"/>
      <c r="AJ71" t="s">
        <v>484</v>
      </c>
    </row>
    <row r="72" spans="1:36">
      <c r="A72" s="588" t="s">
        <v>468</v>
      </c>
      <c r="D72">
        <f t="shared" ref="D72:W72" si="49">D$65*D22*(($AK$25-$AJ$25)+($AL$29-$AK$29))</f>
        <v>0</v>
      </c>
      <c r="E72">
        <f t="shared" si="49"/>
        <v>0</v>
      </c>
      <c r="F72">
        <f t="shared" si="49"/>
        <v>0</v>
      </c>
      <c r="G72">
        <f t="shared" si="49"/>
        <v>0</v>
      </c>
      <c r="H72">
        <f t="shared" si="49"/>
        <v>0</v>
      </c>
      <c r="I72">
        <f t="shared" si="49"/>
        <v>0</v>
      </c>
      <c r="J72">
        <f t="shared" si="49"/>
        <v>-21.848327999999999</v>
      </c>
      <c r="K72">
        <f t="shared" si="49"/>
        <v>-22.614936</v>
      </c>
      <c r="L72">
        <f t="shared" si="49"/>
        <v>-23.381543999999998</v>
      </c>
      <c r="M72">
        <f t="shared" si="49"/>
        <v>-24.148152</v>
      </c>
      <c r="N72">
        <f t="shared" si="49"/>
        <v>-24.838099199999998</v>
      </c>
      <c r="O72">
        <f t="shared" si="49"/>
        <v>-25.528046400000001</v>
      </c>
      <c r="P72">
        <f t="shared" si="49"/>
        <v>-26.2179936</v>
      </c>
      <c r="Q72">
        <f t="shared" si="49"/>
        <v>-26.907940799999999</v>
      </c>
      <c r="R72">
        <f t="shared" si="49"/>
        <v>-27.597887999999998</v>
      </c>
      <c r="S72">
        <f t="shared" si="49"/>
        <v>-28.2878352</v>
      </c>
      <c r="T72">
        <f t="shared" si="49"/>
        <v>0</v>
      </c>
      <c r="U72">
        <f t="shared" si="49"/>
        <v>0</v>
      </c>
      <c r="V72">
        <f t="shared" si="49"/>
        <v>0</v>
      </c>
      <c r="W72">
        <f t="shared" si="49"/>
        <v>0</v>
      </c>
      <c r="AC72" s="584">
        <f t="shared" si="48"/>
        <v>-251.37076319999997</v>
      </c>
      <c r="AD72" s="589"/>
      <c r="AJ72" t="s">
        <v>485</v>
      </c>
    </row>
    <row r="73" spans="1:36">
      <c r="A73" s="588" t="s">
        <v>469</v>
      </c>
      <c r="D73">
        <f t="shared" ref="D73:W73" si="50">D$65*D23*(($AK$25-$AJ$25)+($AL$29-$AK$29))</f>
        <v>0</v>
      </c>
      <c r="E73">
        <f t="shared" si="50"/>
        <v>0</v>
      </c>
      <c r="F73">
        <f t="shared" si="50"/>
        <v>0</v>
      </c>
      <c r="G73">
        <f t="shared" si="50"/>
        <v>0</v>
      </c>
      <c r="H73">
        <f t="shared" si="50"/>
        <v>0</v>
      </c>
      <c r="I73">
        <f t="shared" si="50"/>
        <v>0</v>
      </c>
      <c r="J73">
        <f t="shared" si="50"/>
        <v>0</v>
      </c>
      <c r="K73">
        <f t="shared" si="50"/>
        <v>-22.614936</v>
      </c>
      <c r="L73">
        <f t="shared" si="50"/>
        <v>-23.381543999999998</v>
      </c>
      <c r="M73">
        <f t="shared" si="50"/>
        <v>-24.148152</v>
      </c>
      <c r="N73">
        <f t="shared" si="50"/>
        <v>-24.838099199999998</v>
      </c>
      <c r="O73">
        <f t="shared" si="50"/>
        <v>-25.528046400000001</v>
      </c>
      <c r="P73">
        <f t="shared" si="50"/>
        <v>-26.2179936</v>
      </c>
      <c r="Q73">
        <f t="shared" si="50"/>
        <v>-26.907940799999999</v>
      </c>
      <c r="R73">
        <f t="shared" si="50"/>
        <v>-27.597887999999998</v>
      </c>
      <c r="S73">
        <f t="shared" si="50"/>
        <v>-28.2878352</v>
      </c>
      <c r="T73">
        <f t="shared" si="50"/>
        <v>-28.977782399999999</v>
      </c>
      <c r="U73">
        <f t="shared" si="50"/>
        <v>0</v>
      </c>
      <c r="V73">
        <f t="shared" si="50"/>
        <v>0</v>
      </c>
      <c r="W73">
        <f t="shared" si="50"/>
        <v>0</v>
      </c>
      <c r="AC73" s="584">
        <f t="shared" si="48"/>
        <v>-258.50021759999998</v>
      </c>
      <c r="AD73" s="589"/>
      <c r="AJ73" t="s">
        <v>486</v>
      </c>
    </row>
    <row r="74" spans="1:36">
      <c r="A74" s="588" t="s">
        <v>471</v>
      </c>
      <c r="D74">
        <f t="shared" ref="D74:W74" si="51">D$65*D24*(($AK$25-$AJ$25)+($AL$29-$AK$29))</f>
        <v>0</v>
      </c>
      <c r="E74">
        <f t="shared" si="51"/>
        <v>0</v>
      </c>
      <c r="F74">
        <f t="shared" si="51"/>
        <v>0</v>
      </c>
      <c r="G74">
        <f t="shared" si="51"/>
        <v>0</v>
      </c>
      <c r="H74">
        <f t="shared" si="51"/>
        <v>0</v>
      </c>
      <c r="I74">
        <f t="shared" si="51"/>
        <v>0</v>
      </c>
      <c r="J74">
        <f t="shared" si="51"/>
        <v>0</v>
      </c>
      <c r="K74">
        <f t="shared" si="51"/>
        <v>0</v>
      </c>
      <c r="L74">
        <f t="shared" si="51"/>
        <v>-23.381543999999998</v>
      </c>
      <c r="M74">
        <f t="shared" si="51"/>
        <v>-24.148152</v>
      </c>
      <c r="N74">
        <f t="shared" si="51"/>
        <v>-24.838099199999998</v>
      </c>
      <c r="O74">
        <f t="shared" si="51"/>
        <v>-25.528046400000001</v>
      </c>
      <c r="P74">
        <f t="shared" si="51"/>
        <v>-26.2179936</v>
      </c>
      <c r="Q74">
        <f t="shared" si="51"/>
        <v>-26.907940799999999</v>
      </c>
      <c r="R74">
        <f t="shared" si="51"/>
        <v>-27.597887999999998</v>
      </c>
      <c r="S74">
        <f t="shared" si="51"/>
        <v>-28.2878352</v>
      </c>
      <c r="T74">
        <f t="shared" si="51"/>
        <v>-28.977782399999999</v>
      </c>
      <c r="U74">
        <f t="shared" si="51"/>
        <v>-29.667729599999998</v>
      </c>
      <c r="V74">
        <f t="shared" si="51"/>
        <v>0</v>
      </c>
      <c r="W74">
        <f t="shared" si="51"/>
        <v>0</v>
      </c>
      <c r="AC74" s="584">
        <f t="shared" si="48"/>
        <v>-265.55301119999996</v>
      </c>
      <c r="AD74" s="589"/>
      <c r="AJ74" t="s">
        <v>487</v>
      </c>
    </row>
    <row r="75" spans="1:36" ht="14.4" thickBot="1">
      <c r="A75" s="590" t="s">
        <v>473</v>
      </c>
      <c r="B75" s="591"/>
      <c r="C75" s="591"/>
      <c r="D75" s="591">
        <f t="shared" ref="D75:W75" si="52">D$65*D25*(($AK$25-$AJ$25)+($AL$29-$AK$29))</f>
        <v>0</v>
      </c>
      <c r="E75" s="591">
        <f t="shared" si="52"/>
        <v>0</v>
      </c>
      <c r="F75" s="591">
        <f t="shared" si="52"/>
        <v>0</v>
      </c>
      <c r="G75" s="591">
        <f t="shared" si="52"/>
        <v>0</v>
      </c>
      <c r="H75" s="591">
        <f t="shared" si="52"/>
        <v>0</v>
      </c>
      <c r="I75" s="591">
        <f t="shared" si="52"/>
        <v>0</v>
      </c>
      <c r="J75" s="591">
        <f t="shared" si="52"/>
        <v>0</v>
      </c>
      <c r="K75" s="591">
        <f t="shared" si="52"/>
        <v>0</v>
      </c>
      <c r="L75" s="591">
        <f t="shared" si="52"/>
        <v>0</v>
      </c>
      <c r="M75" s="591">
        <f t="shared" si="52"/>
        <v>-24.148152</v>
      </c>
      <c r="N75" s="591">
        <f t="shared" si="52"/>
        <v>-24.838099199999998</v>
      </c>
      <c r="O75" s="591">
        <f t="shared" si="52"/>
        <v>-25.528046400000001</v>
      </c>
      <c r="P75" s="591">
        <f t="shared" si="52"/>
        <v>-26.2179936</v>
      </c>
      <c r="Q75" s="591">
        <f t="shared" si="52"/>
        <v>-26.907940799999999</v>
      </c>
      <c r="R75" s="591">
        <f t="shared" si="52"/>
        <v>-27.597887999999998</v>
      </c>
      <c r="S75" s="591">
        <f t="shared" si="52"/>
        <v>-28.2878352</v>
      </c>
      <c r="T75" s="591">
        <f t="shared" si="52"/>
        <v>-28.977782399999999</v>
      </c>
      <c r="U75" s="591">
        <f t="shared" si="52"/>
        <v>-29.667729599999998</v>
      </c>
      <c r="V75" s="591">
        <f t="shared" si="52"/>
        <v>-30.3576768</v>
      </c>
      <c r="W75" s="591">
        <f t="shared" si="52"/>
        <v>0</v>
      </c>
      <c r="X75" s="591"/>
      <c r="Y75" s="591"/>
      <c r="Z75" s="591"/>
      <c r="AA75" s="591"/>
      <c r="AB75" s="591"/>
      <c r="AC75" s="592">
        <f t="shared" si="48"/>
        <v>-272.52914399999997</v>
      </c>
      <c r="AD75" s="589"/>
    </row>
    <row r="76" spans="1:36" ht="14.4" thickTop="1">
      <c r="A76" s="593" t="s">
        <v>451</v>
      </c>
      <c r="B76" s="579"/>
      <c r="C76" s="579"/>
      <c r="D76" s="579">
        <f t="shared" ref="D76:W76" si="53">SUM(D70:D75)</f>
        <v>0</v>
      </c>
      <c r="E76" s="579">
        <f t="shared" si="53"/>
        <v>0</v>
      </c>
      <c r="F76" s="579">
        <f t="shared" si="53"/>
        <v>0</v>
      </c>
      <c r="G76" s="579">
        <f t="shared" si="53"/>
        <v>0</v>
      </c>
      <c r="H76" s="579">
        <f t="shared" si="53"/>
        <v>-20.315111999999999</v>
      </c>
      <c r="I76" s="579">
        <f t="shared" si="53"/>
        <v>-42.163440000000001</v>
      </c>
      <c r="J76" s="579">
        <f t="shared" si="53"/>
        <v>-65.544983999999999</v>
      </c>
      <c r="K76" s="579">
        <f t="shared" si="53"/>
        <v>-90.459744000000001</v>
      </c>
      <c r="L76" s="579">
        <f t="shared" si="53"/>
        <v>-116.90771999999998</v>
      </c>
      <c r="M76" s="579">
        <f t="shared" si="53"/>
        <v>-144.888912</v>
      </c>
      <c r="N76" s="579">
        <f t="shared" si="53"/>
        <v>-149.02859519999998</v>
      </c>
      <c r="O76" s="579">
        <f t="shared" si="53"/>
        <v>-153.16827839999999</v>
      </c>
      <c r="P76" s="579">
        <f t="shared" si="53"/>
        <v>-157.3079616</v>
      </c>
      <c r="Q76" s="579">
        <f t="shared" si="53"/>
        <v>-161.44764480000001</v>
      </c>
      <c r="R76" s="579">
        <f t="shared" si="53"/>
        <v>-137.98944</v>
      </c>
      <c r="S76" s="579">
        <f t="shared" si="53"/>
        <v>-113.1513408</v>
      </c>
      <c r="T76" s="579">
        <f t="shared" si="53"/>
        <v>-86.9333472</v>
      </c>
      <c r="U76" s="579">
        <f t="shared" si="53"/>
        <v>-59.335459199999995</v>
      </c>
      <c r="V76" s="579">
        <f t="shared" si="53"/>
        <v>-30.3576768</v>
      </c>
      <c r="W76" s="579">
        <f t="shared" si="53"/>
        <v>0</v>
      </c>
      <c r="X76" s="579"/>
      <c r="Y76" s="579"/>
      <c r="Z76" s="579"/>
      <c r="AA76" s="579"/>
      <c r="AB76" s="579"/>
      <c r="AC76" s="594">
        <f>SUM(D76:W76)</f>
        <v>-1528.9996560000002</v>
      </c>
      <c r="AD76" s="581"/>
    </row>
    <row r="78" spans="1:36">
      <c r="A78" s="605" t="s">
        <v>490</v>
      </c>
      <c r="B78" s="575"/>
      <c r="C78" s="575"/>
      <c r="D78" s="575"/>
      <c r="E78" s="575"/>
      <c r="F78" s="575"/>
      <c r="G78" s="575"/>
      <c r="H78" s="575"/>
      <c r="I78" s="575"/>
      <c r="J78" s="575"/>
      <c r="K78" s="575"/>
      <c r="L78" s="575"/>
      <c r="M78" s="575"/>
      <c r="N78" s="575"/>
      <c r="O78" s="575"/>
      <c r="P78" s="575"/>
      <c r="Q78" s="575"/>
      <c r="R78" s="575"/>
      <c r="S78" s="575"/>
      <c r="T78" s="575"/>
      <c r="U78" s="575"/>
      <c r="V78" s="575"/>
      <c r="W78" s="575"/>
      <c r="X78" s="575"/>
      <c r="Y78" s="575"/>
      <c r="Z78" s="575"/>
      <c r="AA78" s="575"/>
      <c r="AB78" s="575"/>
      <c r="AC78" s="575"/>
      <c r="AD78" s="576"/>
      <c r="AG78" s="583"/>
    </row>
    <row r="79" spans="1:36">
      <c r="A79" s="606"/>
      <c r="B79" s="600" t="str">
        <f>AG12</f>
        <v>Schiff</v>
      </c>
      <c r="AD79" s="589"/>
      <c r="AG79" s="583"/>
    </row>
    <row r="80" spans="1:36">
      <c r="A80" s="588" t="s">
        <v>465</v>
      </c>
      <c r="D80">
        <f t="shared" ref="D80:W80" si="54">D20*($AK$23-$AJ$23)</f>
        <v>0</v>
      </c>
      <c r="E80">
        <f t="shared" si="54"/>
        <v>0</v>
      </c>
      <c r="F80">
        <f t="shared" si="54"/>
        <v>0</v>
      </c>
      <c r="G80">
        <f t="shared" si="54"/>
        <v>0</v>
      </c>
      <c r="H80">
        <f t="shared" si="54"/>
        <v>13.4166861</v>
      </c>
      <c r="I80">
        <f t="shared" si="54"/>
        <v>13.4166861</v>
      </c>
      <c r="J80">
        <f t="shared" si="54"/>
        <v>13.4166861</v>
      </c>
      <c r="K80">
        <f t="shared" si="54"/>
        <v>13.4166861</v>
      </c>
      <c r="L80">
        <f t="shared" si="54"/>
        <v>13.4166861</v>
      </c>
      <c r="M80">
        <f t="shared" si="54"/>
        <v>13.4166861</v>
      </c>
      <c r="N80">
        <f t="shared" si="54"/>
        <v>13.4166861</v>
      </c>
      <c r="O80">
        <f t="shared" si="54"/>
        <v>13.4166861</v>
      </c>
      <c r="P80">
        <f t="shared" si="54"/>
        <v>13.4166861</v>
      </c>
      <c r="Q80">
        <f t="shared" si="54"/>
        <v>13.4166861</v>
      </c>
      <c r="R80">
        <f t="shared" si="54"/>
        <v>0</v>
      </c>
      <c r="S80">
        <f t="shared" si="54"/>
        <v>0</v>
      </c>
      <c r="T80">
        <f t="shared" si="54"/>
        <v>0</v>
      </c>
      <c r="U80">
        <f t="shared" si="54"/>
        <v>0</v>
      </c>
      <c r="V80">
        <f t="shared" si="54"/>
        <v>0</v>
      </c>
      <c r="W80">
        <f t="shared" si="54"/>
        <v>0</v>
      </c>
      <c r="AC80" s="584">
        <f>SUM(D80:W80)</f>
        <v>134.16686099999995</v>
      </c>
      <c r="AD80" s="589"/>
      <c r="AG80" s="607"/>
    </row>
    <row r="81" spans="1:31">
      <c r="A81" s="588" t="s">
        <v>467</v>
      </c>
      <c r="D81">
        <f t="shared" ref="D81:W81" si="55">D21*($AK$23-$AJ$23)</f>
        <v>0</v>
      </c>
      <c r="E81">
        <f t="shared" si="55"/>
        <v>0</v>
      </c>
      <c r="F81">
        <f t="shared" si="55"/>
        <v>0</v>
      </c>
      <c r="G81">
        <f t="shared" si="55"/>
        <v>0</v>
      </c>
      <c r="H81">
        <f t="shared" si="55"/>
        <v>0</v>
      </c>
      <c r="I81">
        <f t="shared" si="55"/>
        <v>13.4166861</v>
      </c>
      <c r="J81">
        <f t="shared" si="55"/>
        <v>13.4166861</v>
      </c>
      <c r="K81">
        <f t="shared" si="55"/>
        <v>13.4166861</v>
      </c>
      <c r="L81">
        <f t="shared" si="55"/>
        <v>13.4166861</v>
      </c>
      <c r="M81">
        <f t="shared" si="55"/>
        <v>13.4166861</v>
      </c>
      <c r="N81">
        <f t="shared" si="55"/>
        <v>13.4166861</v>
      </c>
      <c r="O81">
        <f t="shared" si="55"/>
        <v>13.4166861</v>
      </c>
      <c r="P81">
        <f t="shared" si="55"/>
        <v>13.4166861</v>
      </c>
      <c r="Q81">
        <f t="shared" si="55"/>
        <v>13.4166861</v>
      </c>
      <c r="R81">
        <f t="shared" si="55"/>
        <v>13.4166861</v>
      </c>
      <c r="S81">
        <f t="shared" si="55"/>
        <v>0</v>
      </c>
      <c r="T81">
        <f t="shared" si="55"/>
        <v>0</v>
      </c>
      <c r="U81">
        <f t="shared" si="55"/>
        <v>0</v>
      </c>
      <c r="V81">
        <f t="shared" si="55"/>
        <v>0</v>
      </c>
      <c r="W81">
        <f t="shared" si="55"/>
        <v>0</v>
      </c>
      <c r="AC81" s="584">
        <f t="shared" ref="AC81:AC85" si="56">SUM(D81:W81)</f>
        <v>134.16686099999995</v>
      </c>
      <c r="AD81" s="589"/>
    </row>
    <row r="82" spans="1:31">
      <c r="A82" s="588" t="s">
        <v>468</v>
      </c>
      <c r="D82">
        <f t="shared" ref="D82:W82" si="57">D22*($AK$23-$AJ$23)</f>
        <v>0</v>
      </c>
      <c r="E82">
        <f t="shared" si="57"/>
        <v>0</v>
      </c>
      <c r="F82">
        <f t="shared" si="57"/>
        <v>0</v>
      </c>
      <c r="G82">
        <f t="shared" si="57"/>
        <v>0</v>
      </c>
      <c r="H82">
        <f t="shared" si="57"/>
        <v>0</v>
      </c>
      <c r="I82">
        <f t="shared" si="57"/>
        <v>0</v>
      </c>
      <c r="J82">
        <f t="shared" si="57"/>
        <v>13.4166861</v>
      </c>
      <c r="K82">
        <f t="shared" si="57"/>
        <v>13.4166861</v>
      </c>
      <c r="L82">
        <f t="shared" si="57"/>
        <v>13.4166861</v>
      </c>
      <c r="M82">
        <f t="shared" si="57"/>
        <v>13.4166861</v>
      </c>
      <c r="N82">
        <f t="shared" si="57"/>
        <v>13.4166861</v>
      </c>
      <c r="O82">
        <f t="shared" si="57"/>
        <v>13.4166861</v>
      </c>
      <c r="P82">
        <f t="shared" si="57"/>
        <v>13.4166861</v>
      </c>
      <c r="Q82">
        <f t="shared" si="57"/>
        <v>13.4166861</v>
      </c>
      <c r="R82">
        <f t="shared" si="57"/>
        <v>13.4166861</v>
      </c>
      <c r="S82">
        <f t="shared" si="57"/>
        <v>13.4166861</v>
      </c>
      <c r="T82">
        <f t="shared" si="57"/>
        <v>0</v>
      </c>
      <c r="U82">
        <f t="shared" si="57"/>
        <v>0</v>
      </c>
      <c r="V82">
        <f t="shared" si="57"/>
        <v>0</v>
      </c>
      <c r="W82">
        <f t="shared" si="57"/>
        <v>0</v>
      </c>
      <c r="AC82" s="584">
        <f t="shared" si="56"/>
        <v>134.16686099999995</v>
      </c>
      <c r="AD82" s="589"/>
    </row>
    <row r="83" spans="1:31">
      <c r="A83" s="588" t="s">
        <v>469</v>
      </c>
      <c r="D83">
        <f t="shared" ref="D83:W83" si="58">D23*($AK$23-$AJ$23)</f>
        <v>0</v>
      </c>
      <c r="E83">
        <f t="shared" si="58"/>
        <v>0</v>
      </c>
      <c r="F83">
        <f t="shared" si="58"/>
        <v>0</v>
      </c>
      <c r="G83">
        <f t="shared" si="58"/>
        <v>0</v>
      </c>
      <c r="H83">
        <f t="shared" si="58"/>
        <v>0</v>
      </c>
      <c r="I83">
        <f t="shared" si="58"/>
        <v>0</v>
      </c>
      <c r="J83">
        <f t="shared" si="58"/>
        <v>0</v>
      </c>
      <c r="K83">
        <f t="shared" si="58"/>
        <v>13.4166861</v>
      </c>
      <c r="L83">
        <f t="shared" si="58"/>
        <v>13.4166861</v>
      </c>
      <c r="M83">
        <f t="shared" si="58"/>
        <v>13.4166861</v>
      </c>
      <c r="N83">
        <f t="shared" si="58"/>
        <v>13.4166861</v>
      </c>
      <c r="O83">
        <f t="shared" si="58"/>
        <v>13.4166861</v>
      </c>
      <c r="P83">
        <f t="shared" si="58"/>
        <v>13.4166861</v>
      </c>
      <c r="Q83">
        <f t="shared" si="58"/>
        <v>13.4166861</v>
      </c>
      <c r="R83">
        <f t="shared" si="58"/>
        <v>13.4166861</v>
      </c>
      <c r="S83">
        <f t="shared" si="58"/>
        <v>13.4166861</v>
      </c>
      <c r="T83">
        <f t="shared" si="58"/>
        <v>13.4166861</v>
      </c>
      <c r="U83">
        <f t="shared" si="58"/>
        <v>0</v>
      </c>
      <c r="V83">
        <f t="shared" si="58"/>
        <v>0</v>
      </c>
      <c r="W83">
        <f t="shared" si="58"/>
        <v>0</v>
      </c>
      <c r="AC83" s="584">
        <f t="shared" si="56"/>
        <v>134.16686099999995</v>
      </c>
      <c r="AD83" s="589"/>
    </row>
    <row r="84" spans="1:31">
      <c r="A84" s="588" t="s">
        <v>471</v>
      </c>
      <c r="D84">
        <f t="shared" ref="D84:W84" si="59">D24*($AK$23-$AJ$23)</f>
        <v>0</v>
      </c>
      <c r="E84">
        <f t="shared" si="59"/>
        <v>0</v>
      </c>
      <c r="F84">
        <f t="shared" si="59"/>
        <v>0</v>
      </c>
      <c r="G84">
        <f t="shared" si="59"/>
        <v>0</v>
      </c>
      <c r="H84">
        <f t="shared" si="59"/>
        <v>0</v>
      </c>
      <c r="I84">
        <f t="shared" si="59"/>
        <v>0</v>
      </c>
      <c r="J84">
        <f t="shared" si="59"/>
        <v>0</v>
      </c>
      <c r="K84">
        <f t="shared" si="59"/>
        <v>0</v>
      </c>
      <c r="L84">
        <f t="shared" si="59"/>
        <v>13.4166861</v>
      </c>
      <c r="M84">
        <f t="shared" si="59"/>
        <v>13.4166861</v>
      </c>
      <c r="N84">
        <f t="shared" si="59"/>
        <v>13.4166861</v>
      </c>
      <c r="O84">
        <f t="shared" si="59"/>
        <v>13.4166861</v>
      </c>
      <c r="P84">
        <f t="shared" si="59"/>
        <v>13.4166861</v>
      </c>
      <c r="Q84">
        <f t="shared" si="59"/>
        <v>13.4166861</v>
      </c>
      <c r="R84">
        <f t="shared" si="59"/>
        <v>13.4166861</v>
      </c>
      <c r="S84">
        <f t="shared" si="59"/>
        <v>13.4166861</v>
      </c>
      <c r="T84">
        <f t="shared" si="59"/>
        <v>13.4166861</v>
      </c>
      <c r="U84">
        <f t="shared" si="59"/>
        <v>13.4166861</v>
      </c>
      <c r="V84">
        <f t="shared" si="59"/>
        <v>0</v>
      </c>
      <c r="W84">
        <f t="shared" si="59"/>
        <v>0</v>
      </c>
      <c r="AC84" s="584">
        <f t="shared" si="56"/>
        <v>134.16686099999995</v>
      </c>
      <c r="AD84" s="589"/>
    </row>
    <row r="85" spans="1:31" ht="14.4" thickBot="1">
      <c r="A85" s="590" t="s">
        <v>473</v>
      </c>
      <c r="B85" s="591"/>
      <c r="C85" s="591"/>
      <c r="D85" s="591">
        <f t="shared" ref="D85:W85" si="60">D25*($AK$23-$AJ$23)</f>
        <v>0</v>
      </c>
      <c r="E85" s="591">
        <f t="shared" si="60"/>
        <v>0</v>
      </c>
      <c r="F85" s="591">
        <f t="shared" si="60"/>
        <v>0</v>
      </c>
      <c r="G85" s="591">
        <f t="shared" si="60"/>
        <v>0</v>
      </c>
      <c r="H85" s="591">
        <f t="shared" si="60"/>
        <v>0</v>
      </c>
      <c r="I85" s="591">
        <f t="shared" si="60"/>
        <v>0</v>
      </c>
      <c r="J85" s="591">
        <f t="shared" si="60"/>
        <v>0</v>
      </c>
      <c r="K85" s="591">
        <f t="shared" si="60"/>
        <v>0</v>
      </c>
      <c r="L85" s="591">
        <f t="shared" si="60"/>
        <v>0</v>
      </c>
      <c r="M85" s="591">
        <f t="shared" si="60"/>
        <v>13.4166861</v>
      </c>
      <c r="N85" s="591">
        <f t="shared" si="60"/>
        <v>13.4166861</v>
      </c>
      <c r="O85" s="591">
        <f t="shared" si="60"/>
        <v>13.4166861</v>
      </c>
      <c r="P85" s="591">
        <f t="shared" si="60"/>
        <v>13.4166861</v>
      </c>
      <c r="Q85" s="591">
        <f t="shared" si="60"/>
        <v>13.4166861</v>
      </c>
      <c r="R85" s="591">
        <f t="shared" si="60"/>
        <v>13.4166861</v>
      </c>
      <c r="S85" s="591">
        <f t="shared" si="60"/>
        <v>13.4166861</v>
      </c>
      <c r="T85" s="591">
        <f t="shared" si="60"/>
        <v>13.4166861</v>
      </c>
      <c r="U85" s="591">
        <f t="shared" si="60"/>
        <v>13.4166861</v>
      </c>
      <c r="V85" s="591">
        <f t="shared" si="60"/>
        <v>13.4166861</v>
      </c>
      <c r="W85" s="591">
        <f t="shared" si="60"/>
        <v>0</v>
      </c>
      <c r="X85" s="591"/>
      <c r="Y85" s="591"/>
      <c r="Z85" s="591"/>
      <c r="AA85" s="591"/>
      <c r="AB85" s="591"/>
      <c r="AC85" s="592">
        <f t="shared" si="56"/>
        <v>134.16686099999995</v>
      </c>
      <c r="AD85" s="589"/>
    </row>
    <row r="86" spans="1:31" ht="14.4" thickTop="1">
      <c r="A86" s="593" t="s">
        <v>451</v>
      </c>
      <c r="B86" s="579"/>
      <c r="C86" s="579"/>
      <c r="D86" s="579">
        <f t="shared" ref="D86:W86" si="61">SUM(D80:D85)</f>
        <v>0</v>
      </c>
      <c r="E86" s="579">
        <f t="shared" si="61"/>
        <v>0</v>
      </c>
      <c r="F86" s="579">
        <f t="shared" si="61"/>
        <v>0</v>
      </c>
      <c r="G86" s="579">
        <f t="shared" si="61"/>
        <v>0</v>
      </c>
      <c r="H86" s="579">
        <f t="shared" si="61"/>
        <v>13.4166861</v>
      </c>
      <c r="I86" s="579">
        <f t="shared" si="61"/>
        <v>26.833372199999999</v>
      </c>
      <c r="J86" s="579">
        <f t="shared" si="61"/>
        <v>40.250058299999999</v>
      </c>
      <c r="K86" s="579">
        <f t="shared" si="61"/>
        <v>53.666744399999999</v>
      </c>
      <c r="L86" s="579">
        <f t="shared" si="61"/>
        <v>67.083430499999992</v>
      </c>
      <c r="M86" s="579">
        <f t="shared" si="61"/>
        <v>80.500116599999984</v>
      </c>
      <c r="N86" s="579">
        <f t="shared" si="61"/>
        <v>80.500116599999984</v>
      </c>
      <c r="O86" s="579">
        <f t="shared" si="61"/>
        <v>80.500116599999984</v>
      </c>
      <c r="P86" s="579">
        <f t="shared" si="61"/>
        <v>80.500116599999984</v>
      </c>
      <c r="Q86" s="579">
        <f t="shared" si="61"/>
        <v>80.500116599999984</v>
      </c>
      <c r="R86" s="579">
        <f t="shared" si="61"/>
        <v>67.083430499999992</v>
      </c>
      <c r="S86" s="579">
        <f t="shared" si="61"/>
        <v>53.666744399999999</v>
      </c>
      <c r="T86" s="579">
        <f t="shared" si="61"/>
        <v>40.250058299999999</v>
      </c>
      <c r="U86" s="579">
        <f t="shared" si="61"/>
        <v>26.833372199999999</v>
      </c>
      <c r="V86" s="579">
        <f t="shared" si="61"/>
        <v>13.4166861</v>
      </c>
      <c r="W86" s="579">
        <f t="shared" si="61"/>
        <v>0</v>
      </c>
      <c r="X86" s="579"/>
      <c r="Y86" s="579"/>
      <c r="Z86" s="579"/>
      <c r="AA86" s="579"/>
      <c r="AB86" s="579"/>
      <c r="AC86" s="594">
        <f>SUM(D86:W86)</f>
        <v>805.00116599999967</v>
      </c>
      <c r="AD86" s="581"/>
    </row>
    <row r="88" spans="1:31">
      <c r="A88" s="596" t="s">
        <v>512</v>
      </c>
      <c r="B88" s="597"/>
      <c r="C88" s="597"/>
      <c r="D88" s="597"/>
      <c r="E88" s="597"/>
      <c r="F88" s="597"/>
      <c r="G88" s="597"/>
      <c r="H88" s="597"/>
      <c r="I88" s="597"/>
      <c r="J88" s="597"/>
      <c r="K88" s="597"/>
      <c r="L88" s="597"/>
      <c r="M88" s="597"/>
      <c r="N88" s="597"/>
      <c r="O88" s="597"/>
      <c r="P88" s="597"/>
      <c r="Q88" s="597"/>
      <c r="R88" s="597"/>
      <c r="S88" s="597"/>
      <c r="T88" s="597"/>
      <c r="U88" s="597"/>
      <c r="V88" s="597"/>
      <c r="W88" s="597"/>
      <c r="X88" s="597"/>
      <c r="Y88" s="597"/>
      <c r="Z88" s="597"/>
      <c r="AA88" s="597"/>
      <c r="AB88" s="597"/>
      <c r="AC88" s="597"/>
      <c r="AD88" s="599"/>
    </row>
    <row r="89" spans="1:31">
      <c r="A89" s="588" t="s">
        <v>465</v>
      </c>
      <c r="D89">
        <v>0</v>
      </c>
      <c r="E89">
        <v>0</v>
      </c>
      <c r="F89">
        <v>0</v>
      </c>
      <c r="G89">
        <v>0</v>
      </c>
      <c r="H89" s="583">
        <f t="shared" ref="H89:W89" si="62">$F$4*(($AK$25-$AJ$25)-$AK$22)</f>
        <v>-0.37268572499999997</v>
      </c>
      <c r="I89" s="583">
        <f t="shared" si="62"/>
        <v>-0.37268572499999997</v>
      </c>
      <c r="J89" s="583">
        <f t="shared" si="62"/>
        <v>-0.37268572499999997</v>
      </c>
      <c r="K89" s="583">
        <f t="shared" si="62"/>
        <v>-0.37268572499999997</v>
      </c>
      <c r="L89" s="583">
        <f t="shared" si="62"/>
        <v>-0.37268572499999997</v>
      </c>
      <c r="M89" s="583">
        <f t="shared" si="62"/>
        <v>-0.37268572499999997</v>
      </c>
      <c r="N89" s="583">
        <f t="shared" si="62"/>
        <v>-0.37268572499999997</v>
      </c>
      <c r="O89" s="583">
        <f t="shared" si="62"/>
        <v>-0.37268572499999997</v>
      </c>
      <c r="P89" s="583">
        <f t="shared" si="62"/>
        <v>-0.37268572499999997</v>
      </c>
      <c r="Q89" s="583">
        <f t="shared" si="62"/>
        <v>-0.37268572499999997</v>
      </c>
      <c r="R89" s="583">
        <f t="shared" si="62"/>
        <v>-0.37268572499999997</v>
      </c>
      <c r="S89" s="583">
        <f t="shared" si="62"/>
        <v>-0.37268572499999997</v>
      </c>
      <c r="T89" s="583">
        <f t="shared" si="62"/>
        <v>-0.37268572499999997</v>
      </c>
      <c r="U89" s="583">
        <f t="shared" si="62"/>
        <v>-0.37268572499999997</v>
      </c>
      <c r="V89" s="583">
        <f t="shared" si="62"/>
        <v>-0.37268572499999997</v>
      </c>
      <c r="W89" s="583">
        <f t="shared" si="62"/>
        <v>-0.37268572499999997</v>
      </c>
      <c r="X89" s="583"/>
      <c r="Y89" s="583"/>
      <c r="Z89" s="583"/>
      <c r="AA89" s="583"/>
      <c r="AB89" s="583"/>
      <c r="AC89" s="584">
        <f>SUM(D89:W89)</f>
        <v>-5.9629716000000013</v>
      </c>
      <c r="AD89" s="589"/>
    </row>
    <row r="90" spans="1:31">
      <c r="A90" s="588" t="s">
        <v>467</v>
      </c>
      <c r="D90">
        <v>0</v>
      </c>
      <c r="E90">
        <v>0</v>
      </c>
      <c r="F90">
        <v>0</v>
      </c>
      <c r="G90">
        <v>0</v>
      </c>
      <c r="H90">
        <v>0</v>
      </c>
      <c r="I90" s="583">
        <f t="shared" ref="I90:W90" si="63">$G$4*(($AK$25-$AJ$25)-$AK$22)</f>
        <v>-0.37268572499999997</v>
      </c>
      <c r="J90" s="583">
        <f t="shared" si="63"/>
        <v>-0.37268572499999997</v>
      </c>
      <c r="K90" s="583">
        <f t="shared" si="63"/>
        <v>-0.37268572499999997</v>
      </c>
      <c r="L90" s="583">
        <f t="shared" si="63"/>
        <v>-0.37268572499999997</v>
      </c>
      <c r="M90" s="583">
        <f t="shared" si="63"/>
        <v>-0.37268572499999997</v>
      </c>
      <c r="N90" s="583">
        <f t="shared" si="63"/>
        <v>-0.37268572499999997</v>
      </c>
      <c r="O90" s="583">
        <f t="shared" si="63"/>
        <v>-0.37268572499999997</v>
      </c>
      <c r="P90" s="583">
        <f t="shared" si="63"/>
        <v>-0.37268572499999997</v>
      </c>
      <c r="Q90" s="583">
        <f t="shared" si="63"/>
        <v>-0.37268572499999997</v>
      </c>
      <c r="R90" s="583">
        <f t="shared" si="63"/>
        <v>-0.37268572499999997</v>
      </c>
      <c r="S90" s="583">
        <f t="shared" si="63"/>
        <v>-0.37268572499999997</v>
      </c>
      <c r="T90" s="583">
        <f t="shared" si="63"/>
        <v>-0.37268572499999997</v>
      </c>
      <c r="U90" s="583">
        <f t="shared" si="63"/>
        <v>-0.37268572499999997</v>
      </c>
      <c r="V90" s="583">
        <f t="shared" si="63"/>
        <v>-0.37268572499999997</v>
      </c>
      <c r="W90" s="583">
        <f t="shared" si="63"/>
        <v>-0.37268572499999997</v>
      </c>
      <c r="X90" s="583"/>
      <c r="Y90" s="583"/>
      <c r="Z90" s="583"/>
      <c r="AA90" s="583"/>
      <c r="AB90" s="583"/>
      <c r="AC90" s="584">
        <f t="shared" ref="AC90:AC94" si="64">SUM(D90:W90)</f>
        <v>-5.5902858750000011</v>
      </c>
      <c r="AD90" s="589"/>
      <c r="AE90" s="608"/>
    </row>
    <row r="91" spans="1:31">
      <c r="A91" s="588" t="s">
        <v>468</v>
      </c>
      <c r="D91">
        <v>0</v>
      </c>
      <c r="E91">
        <v>0</v>
      </c>
      <c r="F91">
        <v>0</v>
      </c>
      <c r="G91">
        <v>0</v>
      </c>
      <c r="H91">
        <v>0</v>
      </c>
      <c r="I91">
        <v>0</v>
      </c>
      <c r="J91" s="583">
        <f t="shared" ref="J91:W91" si="65">$H$4*(($AK$25-$AJ$25)-$AK$22)</f>
        <v>-0.37268572499999997</v>
      </c>
      <c r="K91" s="583">
        <f t="shared" si="65"/>
        <v>-0.37268572499999997</v>
      </c>
      <c r="L91" s="583">
        <f t="shared" si="65"/>
        <v>-0.37268572499999997</v>
      </c>
      <c r="M91" s="583">
        <f t="shared" si="65"/>
        <v>-0.37268572499999997</v>
      </c>
      <c r="N91" s="583">
        <f t="shared" si="65"/>
        <v>-0.37268572499999997</v>
      </c>
      <c r="O91" s="583">
        <f t="shared" si="65"/>
        <v>-0.37268572499999997</v>
      </c>
      <c r="P91" s="583">
        <f t="shared" si="65"/>
        <v>-0.37268572499999997</v>
      </c>
      <c r="Q91" s="583">
        <f t="shared" si="65"/>
        <v>-0.37268572499999997</v>
      </c>
      <c r="R91" s="583">
        <f t="shared" si="65"/>
        <v>-0.37268572499999997</v>
      </c>
      <c r="S91" s="583">
        <f t="shared" si="65"/>
        <v>-0.37268572499999997</v>
      </c>
      <c r="T91" s="583">
        <f t="shared" si="65"/>
        <v>-0.37268572499999997</v>
      </c>
      <c r="U91" s="583">
        <f t="shared" si="65"/>
        <v>-0.37268572499999997</v>
      </c>
      <c r="V91" s="583">
        <f t="shared" si="65"/>
        <v>-0.37268572499999997</v>
      </c>
      <c r="W91" s="583">
        <f t="shared" si="65"/>
        <v>-0.37268572499999997</v>
      </c>
      <c r="X91" s="583"/>
      <c r="Y91" s="583"/>
      <c r="Z91" s="583"/>
      <c r="AA91" s="583"/>
      <c r="AB91" s="583"/>
      <c r="AC91" s="584">
        <f t="shared" si="64"/>
        <v>-5.2176001500000009</v>
      </c>
      <c r="AD91" s="589"/>
    </row>
    <row r="92" spans="1:31">
      <c r="A92" s="588" t="s">
        <v>469</v>
      </c>
      <c r="D92">
        <v>0</v>
      </c>
      <c r="E92">
        <v>0</v>
      </c>
      <c r="F92">
        <v>0</v>
      </c>
      <c r="G92">
        <v>0</v>
      </c>
      <c r="H92">
        <v>0</v>
      </c>
      <c r="I92">
        <v>0</v>
      </c>
      <c r="J92">
        <v>0</v>
      </c>
      <c r="K92" s="583">
        <f t="shared" ref="K92:W92" si="66">$I$4*(($AK$25-$AJ$25)-$AK$22)</f>
        <v>-0.37268572499999997</v>
      </c>
      <c r="L92" s="583">
        <f t="shared" si="66"/>
        <v>-0.37268572499999997</v>
      </c>
      <c r="M92" s="583">
        <f t="shared" si="66"/>
        <v>-0.37268572499999997</v>
      </c>
      <c r="N92" s="583">
        <f t="shared" si="66"/>
        <v>-0.37268572499999997</v>
      </c>
      <c r="O92" s="583">
        <f t="shared" si="66"/>
        <v>-0.37268572499999997</v>
      </c>
      <c r="P92" s="583">
        <f t="shared" si="66"/>
        <v>-0.37268572499999997</v>
      </c>
      <c r="Q92" s="583">
        <f t="shared" si="66"/>
        <v>-0.37268572499999997</v>
      </c>
      <c r="R92" s="583">
        <f t="shared" si="66"/>
        <v>-0.37268572499999997</v>
      </c>
      <c r="S92" s="583">
        <f t="shared" si="66"/>
        <v>-0.37268572499999997</v>
      </c>
      <c r="T92" s="583">
        <f t="shared" si="66"/>
        <v>-0.37268572499999997</v>
      </c>
      <c r="U92" s="583">
        <f t="shared" si="66"/>
        <v>-0.37268572499999997</v>
      </c>
      <c r="V92" s="583">
        <f t="shared" si="66"/>
        <v>-0.37268572499999997</v>
      </c>
      <c r="W92" s="583">
        <f t="shared" si="66"/>
        <v>-0.37268572499999997</v>
      </c>
      <c r="X92" s="583"/>
      <c r="Y92" s="583"/>
      <c r="Z92" s="583"/>
      <c r="AA92" s="583"/>
      <c r="AB92" s="583"/>
      <c r="AC92" s="584">
        <f t="shared" si="64"/>
        <v>-4.8449144250000007</v>
      </c>
      <c r="AD92" s="589"/>
    </row>
    <row r="93" spans="1:31">
      <c r="A93" s="588" t="s">
        <v>471</v>
      </c>
      <c r="D93">
        <v>0</v>
      </c>
      <c r="E93">
        <v>0</v>
      </c>
      <c r="F93">
        <v>0</v>
      </c>
      <c r="G93">
        <v>0</v>
      </c>
      <c r="H93">
        <v>0</v>
      </c>
      <c r="I93">
        <v>0</v>
      </c>
      <c r="J93">
        <v>0</v>
      </c>
      <c r="K93">
        <v>0</v>
      </c>
      <c r="L93" s="583">
        <f t="shared" ref="L93:W93" si="67">$J$4*(($AK$25-$AJ$25)-$AK$22)</f>
        <v>-0.37268572499999997</v>
      </c>
      <c r="M93" s="583">
        <f t="shared" si="67"/>
        <v>-0.37268572499999997</v>
      </c>
      <c r="N93" s="583">
        <f t="shared" si="67"/>
        <v>-0.37268572499999997</v>
      </c>
      <c r="O93" s="583">
        <f t="shared" si="67"/>
        <v>-0.37268572499999997</v>
      </c>
      <c r="P93" s="583">
        <f t="shared" si="67"/>
        <v>-0.37268572499999997</v>
      </c>
      <c r="Q93" s="583">
        <f t="shared" si="67"/>
        <v>-0.37268572499999997</v>
      </c>
      <c r="R93" s="583">
        <f t="shared" si="67"/>
        <v>-0.37268572499999997</v>
      </c>
      <c r="S93" s="583">
        <f t="shared" si="67"/>
        <v>-0.37268572499999997</v>
      </c>
      <c r="T93" s="583">
        <f t="shared" si="67"/>
        <v>-0.37268572499999997</v>
      </c>
      <c r="U93" s="583">
        <f t="shared" si="67"/>
        <v>-0.37268572499999997</v>
      </c>
      <c r="V93" s="583">
        <f t="shared" si="67"/>
        <v>-0.37268572499999997</v>
      </c>
      <c r="W93" s="583">
        <f t="shared" si="67"/>
        <v>-0.37268572499999997</v>
      </c>
      <c r="X93" s="583"/>
      <c r="Y93" s="583"/>
      <c r="Z93" s="583"/>
      <c r="AA93" s="583"/>
      <c r="AB93" s="583"/>
      <c r="AC93" s="584">
        <f t="shared" si="64"/>
        <v>-4.4722287000000005</v>
      </c>
      <c r="AD93" s="589"/>
      <c r="AE93" s="608"/>
    </row>
    <row r="94" spans="1:31" ht="14.4" thickBot="1">
      <c r="A94" s="590" t="s">
        <v>473</v>
      </c>
      <c r="B94" s="591"/>
      <c r="C94" s="591"/>
      <c r="D94" s="591">
        <v>0</v>
      </c>
      <c r="E94" s="591">
        <v>0</v>
      </c>
      <c r="F94" s="591">
        <v>0</v>
      </c>
      <c r="G94" s="591">
        <v>0</v>
      </c>
      <c r="H94" s="591">
        <v>0</v>
      </c>
      <c r="I94" s="591">
        <v>0</v>
      </c>
      <c r="J94" s="591">
        <v>0</v>
      </c>
      <c r="K94" s="591">
        <v>0</v>
      </c>
      <c r="L94" s="591">
        <v>0</v>
      </c>
      <c r="M94" s="614">
        <f t="shared" ref="M94:W94" si="68">$K$4*(($AK$25-$AJ$25)-$AK$22)</f>
        <v>-0.37268572499999997</v>
      </c>
      <c r="N94" s="614">
        <f t="shared" si="68"/>
        <v>-0.37268572499999997</v>
      </c>
      <c r="O94" s="614">
        <f t="shared" si="68"/>
        <v>-0.37268572499999997</v>
      </c>
      <c r="P94" s="614">
        <f t="shared" si="68"/>
        <v>-0.37268572499999997</v>
      </c>
      <c r="Q94" s="614">
        <f t="shared" si="68"/>
        <v>-0.37268572499999997</v>
      </c>
      <c r="R94" s="614">
        <f t="shared" si="68"/>
        <v>-0.37268572499999997</v>
      </c>
      <c r="S94" s="614">
        <f t="shared" si="68"/>
        <v>-0.37268572499999997</v>
      </c>
      <c r="T94" s="614">
        <f t="shared" si="68"/>
        <v>-0.37268572499999997</v>
      </c>
      <c r="U94" s="614">
        <f t="shared" si="68"/>
        <v>-0.37268572499999997</v>
      </c>
      <c r="V94" s="614">
        <f t="shared" si="68"/>
        <v>-0.37268572499999997</v>
      </c>
      <c r="W94" s="614">
        <f t="shared" si="68"/>
        <v>-0.37268572499999997</v>
      </c>
      <c r="X94" s="614"/>
      <c r="Y94" s="614"/>
      <c r="Z94" s="614"/>
      <c r="AA94" s="614"/>
      <c r="AB94" s="614"/>
      <c r="AC94" s="592">
        <f t="shared" si="64"/>
        <v>-4.0995429750000003</v>
      </c>
      <c r="AD94" s="589"/>
    </row>
    <row r="95" spans="1:31" ht="14.4" thickTop="1">
      <c r="A95" s="593" t="s">
        <v>451</v>
      </c>
      <c r="B95" s="579"/>
      <c r="C95" s="579"/>
      <c r="D95" s="579">
        <f t="shared" ref="D95:W95" si="69">$AG$20+SUM(D89:D94)</f>
        <v>19</v>
      </c>
      <c r="E95" s="579">
        <f t="shared" si="69"/>
        <v>19</v>
      </c>
      <c r="F95" s="579">
        <f t="shared" si="69"/>
        <v>19</v>
      </c>
      <c r="G95" s="579">
        <f t="shared" si="69"/>
        <v>19</v>
      </c>
      <c r="H95" s="579">
        <f t="shared" si="69"/>
        <v>18.627314275</v>
      </c>
      <c r="I95" s="579">
        <f t="shared" si="69"/>
        <v>18.25462855</v>
      </c>
      <c r="J95" s="579">
        <f t="shared" si="69"/>
        <v>17.881942824999999</v>
      </c>
      <c r="K95" s="579">
        <f t="shared" si="69"/>
        <v>17.509257099999999</v>
      </c>
      <c r="L95" s="579">
        <f t="shared" si="69"/>
        <v>17.136571374999999</v>
      </c>
      <c r="M95" s="579">
        <f t="shared" si="69"/>
        <v>16.763885649999999</v>
      </c>
      <c r="N95" s="579">
        <f t="shared" si="69"/>
        <v>16.763885649999999</v>
      </c>
      <c r="O95" s="579">
        <f t="shared" si="69"/>
        <v>16.763885649999999</v>
      </c>
      <c r="P95" s="579">
        <f t="shared" si="69"/>
        <v>16.763885649999999</v>
      </c>
      <c r="Q95" s="579">
        <f t="shared" si="69"/>
        <v>16.763885649999999</v>
      </c>
      <c r="R95" s="579">
        <f t="shared" si="69"/>
        <v>16.763885649999999</v>
      </c>
      <c r="S95" s="579">
        <f t="shared" si="69"/>
        <v>16.763885649999999</v>
      </c>
      <c r="T95" s="579">
        <f t="shared" si="69"/>
        <v>16.763885649999999</v>
      </c>
      <c r="U95" s="579">
        <f t="shared" si="69"/>
        <v>16.763885649999999</v>
      </c>
      <c r="V95" s="579">
        <f t="shared" si="69"/>
        <v>16.763885649999999</v>
      </c>
      <c r="W95" s="579">
        <f t="shared" si="69"/>
        <v>16.763885649999999</v>
      </c>
      <c r="X95" s="579"/>
      <c r="Y95" s="579"/>
      <c r="Z95" s="579"/>
      <c r="AA95" s="579"/>
      <c r="AB95" s="579"/>
      <c r="AC95" s="594">
        <f>SUM(D95:W95)</f>
        <v>349.8124562750001</v>
      </c>
      <c r="AD95" s="581"/>
    </row>
    <row r="97" spans="1:32">
      <c r="A97" s="605" t="s">
        <v>507</v>
      </c>
      <c r="B97" s="575"/>
      <c r="C97" s="575"/>
      <c r="D97" s="575"/>
      <c r="E97" s="575"/>
      <c r="F97" s="575"/>
      <c r="G97" s="575"/>
      <c r="H97" s="575"/>
      <c r="I97" s="575"/>
      <c r="J97" s="575"/>
      <c r="K97" s="575"/>
      <c r="L97" s="575"/>
      <c r="M97" s="575"/>
      <c r="N97" s="575"/>
      <c r="O97" s="575"/>
      <c r="P97" s="575"/>
      <c r="Q97" s="575"/>
      <c r="R97" s="575"/>
      <c r="S97" s="575"/>
      <c r="T97" s="575"/>
      <c r="U97" s="575"/>
      <c r="V97" s="575"/>
      <c r="W97" s="575"/>
      <c r="X97" s="575"/>
      <c r="Y97" s="575"/>
      <c r="Z97" s="575"/>
      <c r="AA97" s="575"/>
      <c r="AB97" s="575"/>
      <c r="AC97" s="575"/>
      <c r="AD97" s="576"/>
    </row>
    <row r="98" spans="1:32">
      <c r="A98" s="588"/>
      <c r="B98" s="600" t="str">
        <f>AG17</f>
        <v>keine Gutschrift</v>
      </c>
      <c r="C98" s="626"/>
      <c r="D98" s="626">
        <f>HLOOKUP(D$2,'Daten Markthochlauf'!$N$18:$AG$21,VLOOKUP($AG$17,'Daten Markthochlauf'!$L$19:$M$21,2,FALSE),FALSE)</f>
        <v>0</v>
      </c>
      <c r="E98" s="626">
        <f>HLOOKUP(E$2,'Daten Markthochlauf'!$N$18:$AG$21,VLOOKUP($AG$17,'Daten Markthochlauf'!$L$19:$M$21,2,FALSE),FALSE)</f>
        <v>0</v>
      </c>
      <c r="F98" s="626">
        <f>HLOOKUP(F$2,'Daten Markthochlauf'!$N$18:$AG$21,VLOOKUP($AG$17,'Daten Markthochlauf'!$L$19:$M$21,2,FALSE),FALSE)</f>
        <v>0</v>
      </c>
      <c r="G98" s="626">
        <f>HLOOKUP(G$2,'Daten Markthochlauf'!$N$18:$AG$21,VLOOKUP($AG$17,'Daten Markthochlauf'!$L$19:$M$21,2,FALSE),FALSE)</f>
        <v>0</v>
      </c>
      <c r="H98" s="626">
        <f>HLOOKUP(H$2,'Daten Markthochlauf'!$N$18:$AG$21,VLOOKUP($AG$17,'Daten Markthochlauf'!$L$19:$M$21,2,FALSE),FALSE)</f>
        <v>0</v>
      </c>
      <c r="I98" s="626">
        <f>HLOOKUP(I$2,'Daten Markthochlauf'!$N$18:$AG$21,VLOOKUP($AG$17,'Daten Markthochlauf'!$L$19:$M$21,2,FALSE),FALSE)</f>
        <v>0</v>
      </c>
      <c r="J98" s="626">
        <f>HLOOKUP(J$2,'Daten Markthochlauf'!$N$18:$AG$21,VLOOKUP($AG$17,'Daten Markthochlauf'!$L$19:$M$21,2,FALSE),FALSE)</f>
        <v>0</v>
      </c>
      <c r="K98" s="626">
        <f>HLOOKUP(K$2,'Daten Markthochlauf'!$N$18:$AG$21,VLOOKUP($AG$17,'Daten Markthochlauf'!$L$19:$M$21,2,FALSE),FALSE)</f>
        <v>0</v>
      </c>
      <c r="L98" s="626">
        <f>HLOOKUP(L$2,'Daten Markthochlauf'!$N$18:$AG$21,VLOOKUP($AG$17,'Daten Markthochlauf'!$L$19:$M$21,2,FALSE),FALSE)</f>
        <v>0</v>
      </c>
      <c r="M98" s="626">
        <f>HLOOKUP(M$2,'Daten Markthochlauf'!$N$18:$AG$21,VLOOKUP($AG$17,'Daten Markthochlauf'!$L$19:$M$21,2,FALSE),FALSE)</f>
        <v>0</v>
      </c>
      <c r="N98" s="626">
        <f>HLOOKUP(N$2,'Daten Markthochlauf'!$N$18:$AG$21,VLOOKUP($AG$17,'Daten Markthochlauf'!$L$19:$M$21,2,FALSE),FALSE)</f>
        <v>0</v>
      </c>
      <c r="O98" s="626">
        <f>HLOOKUP(O$2,'Daten Markthochlauf'!$N$18:$AG$21,VLOOKUP($AG$17,'Daten Markthochlauf'!$L$19:$M$21,2,FALSE),FALSE)</f>
        <v>0</v>
      </c>
      <c r="P98" s="626">
        <f>HLOOKUP(P$2,'Daten Markthochlauf'!$N$18:$AG$21,VLOOKUP($AG$17,'Daten Markthochlauf'!$L$19:$M$21,2,FALSE),FALSE)</f>
        <v>0</v>
      </c>
      <c r="Q98" s="626">
        <f>HLOOKUP(Q$2,'Daten Markthochlauf'!$N$18:$AG$21,VLOOKUP($AG$17,'Daten Markthochlauf'!$L$19:$M$21,2,FALSE),FALSE)</f>
        <v>0</v>
      </c>
      <c r="R98" s="626">
        <f>HLOOKUP(R$2,'Daten Markthochlauf'!$N$18:$AG$21,VLOOKUP($AG$17,'Daten Markthochlauf'!$L$19:$M$21,2,FALSE),FALSE)</f>
        <v>0</v>
      </c>
      <c r="S98" s="626">
        <f>HLOOKUP(S$2,'Daten Markthochlauf'!$N$18:$AG$21,VLOOKUP($AG$17,'Daten Markthochlauf'!$L$19:$M$21,2,FALSE),FALSE)</f>
        <v>0</v>
      </c>
      <c r="T98" s="626">
        <f>HLOOKUP(T$2,'Daten Markthochlauf'!$N$18:$AG$21,VLOOKUP($AG$17,'Daten Markthochlauf'!$L$19:$M$21,2,FALSE),FALSE)</f>
        <v>0</v>
      </c>
      <c r="U98" s="626">
        <f>HLOOKUP(U$2,'Daten Markthochlauf'!$N$18:$AG$21,VLOOKUP($AG$17,'Daten Markthochlauf'!$L$19:$M$21,2,FALSE),FALSE)</f>
        <v>0</v>
      </c>
      <c r="V98" s="626">
        <f>HLOOKUP(V$2,'Daten Markthochlauf'!$N$18:$AG$21,VLOOKUP($AG$17,'Daten Markthochlauf'!$L$19:$M$21,2,FALSE),FALSE)</f>
        <v>0</v>
      </c>
      <c r="W98" s="626">
        <f>HLOOKUP(W$2,'Daten Markthochlauf'!$N$18:$AG$21,VLOOKUP($AG$17,'Daten Markthochlauf'!$L$19:$M$21,2,FALSE),FALSE)</f>
        <v>0</v>
      </c>
      <c r="X98" s="626"/>
      <c r="Y98" s="626"/>
      <c r="Z98" s="626"/>
      <c r="AA98" s="626"/>
      <c r="AB98" s="626"/>
      <c r="AC98" s="626"/>
      <c r="AD98" s="589"/>
    </row>
    <row r="99" spans="1:32">
      <c r="A99" s="588"/>
      <c r="B99" s="626"/>
      <c r="C99" s="626"/>
      <c r="D99" s="626"/>
      <c r="E99" s="626"/>
      <c r="F99" s="626"/>
      <c r="G99" s="626"/>
      <c r="H99" s="626"/>
      <c r="I99" s="626"/>
      <c r="J99" s="626"/>
      <c r="K99" s="626"/>
      <c r="L99" s="626"/>
      <c r="M99" s="626"/>
      <c r="N99" s="626"/>
      <c r="O99" s="626"/>
      <c r="P99" s="626"/>
      <c r="Q99" s="626"/>
      <c r="R99" s="626"/>
      <c r="S99" s="626"/>
      <c r="T99" s="626"/>
      <c r="U99" s="626"/>
      <c r="V99" s="626"/>
      <c r="W99" s="626"/>
      <c r="X99" s="626"/>
      <c r="Y99" s="626"/>
      <c r="Z99" s="626"/>
      <c r="AA99" s="626"/>
      <c r="AB99" s="626"/>
      <c r="AC99" s="626"/>
      <c r="AD99" s="589"/>
    </row>
    <row r="100" spans="1:32">
      <c r="A100" s="588" t="s">
        <v>465</v>
      </c>
      <c r="B100" s="626"/>
      <c r="C100" s="626"/>
      <c r="D100" s="626">
        <f t="shared" ref="D100:W100" si="70">-D20*$AK$22*D$98</f>
        <v>0</v>
      </c>
      <c r="E100" s="626">
        <f t="shared" si="70"/>
        <v>0</v>
      </c>
      <c r="F100" s="626">
        <f t="shared" si="70"/>
        <v>0</v>
      </c>
      <c r="G100" s="626">
        <f t="shared" si="70"/>
        <v>0</v>
      </c>
      <c r="H100" s="626">
        <f t="shared" si="70"/>
        <v>0</v>
      </c>
      <c r="I100" s="626">
        <f t="shared" si="70"/>
        <v>0</v>
      </c>
      <c r="J100" s="626">
        <f t="shared" si="70"/>
        <v>0</v>
      </c>
      <c r="K100" s="626">
        <f t="shared" si="70"/>
        <v>0</v>
      </c>
      <c r="L100" s="626">
        <f t="shared" si="70"/>
        <v>0</v>
      </c>
      <c r="M100" s="626">
        <f t="shared" si="70"/>
        <v>0</v>
      </c>
      <c r="N100" s="626">
        <f t="shared" si="70"/>
        <v>0</v>
      </c>
      <c r="O100" s="626">
        <f t="shared" si="70"/>
        <v>0</v>
      </c>
      <c r="P100" s="626">
        <f t="shared" si="70"/>
        <v>0</v>
      </c>
      <c r="Q100" s="626">
        <f t="shared" si="70"/>
        <v>0</v>
      </c>
      <c r="R100" s="626">
        <f t="shared" si="70"/>
        <v>0</v>
      </c>
      <c r="S100" s="626">
        <f t="shared" si="70"/>
        <v>0</v>
      </c>
      <c r="T100" s="626">
        <f t="shared" si="70"/>
        <v>0</v>
      </c>
      <c r="U100" s="626">
        <f t="shared" si="70"/>
        <v>0</v>
      </c>
      <c r="V100" s="626">
        <f t="shared" si="70"/>
        <v>0</v>
      </c>
      <c r="W100" s="626">
        <f t="shared" si="70"/>
        <v>0</v>
      </c>
      <c r="X100" s="626"/>
      <c r="Y100" s="626"/>
      <c r="Z100" s="626"/>
      <c r="AA100" s="626"/>
      <c r="AB100" s="626"/>
      <c r="AC100" s="627">
        <f>SUM(D100:W100)</f>
        <v>0</v>
      </c>
      <c r="AD100" s="589"/>
    </row>
    <row r="101" spans="1:32">
      <c r="A101" s="588" t="s">
        <v>467</v>
      </c>
      <c r="B101" s="626"/>
      <c r="C101" s="626"/>
      <c r="D101" s="626">
        <f t="shared" ref="D101:W101" si="71">-D21*$AK$22*D$98</f>
        <v>0</v>
      </c>
      <c r="E101" s="626">
        <f t="shared" si="71"/>
        <v>0</v>
      </c>
      <c r="F101" s="626">
        <f t="shared" si="71"/>
        <v>0</v>
      </c>
      <c r="G101" s="626">
        <f t="shared" si="71"/>
        <v>0</v>
      </c>
      <c r="H101" s="626">
        <f t="shared" si="71"/>
        <v>0</v>
      </c>
      <c r="I101" s="626">
        <f t="shared" si="71"/>
        <v>0</v>
      </c>
      <c r="J101" s="626">
        <f t="shared" si="71"/>
        <v>0</v>
      </c>
      <c r="K101" s="626">
        <f t="shared" si="71"/>
        <v>0</v>
      </c>
      <c r="L101" s="626">
        <f t="shared" si="71"/>
        <v>0</v>
      </c>
      <c r="M101" s="626">
        <f t="shared" si="71"/>
        <v>0</v>
      </c>
      <c r="N101" s="626">
        <f t="shared" si="71"/>
        <v>0</v>
      </c>
      <c r="O101" s="626">
        <f t="shared" si="71"/>
        <v>0</v>
      </c>
      <c r="P101" s="626">
        <f t="shared" si="71"/>
        <v>0</v>
      </c>
      <c r="Q101" s="626">
        <f t="shared" si="71"/>
        <v>0</v>
      </c>
      <c r="R101" s="626">
        <f t="shared" si="71"/>
        <v>0</v>
      </c>
      <c r="S101" s="626">
        <f t="shared" si="71"/>
        <v>0</v>
      </c>
      <c r="T101" s="626">
        <f t="shared" si="71"/>
        <v>0</v>
      </c>
      <c r="U101" s="626">
        <f t="shared" si="71"/>
        <v>0</v>
      </c>
      <c r="V101" s="626">
        <f t="shared" si="71"/>
        <v>0</v>
      </c>
      <c r="W101" s="626">
        <f t="shared" si="71"/>
        <v>0</v>
      </c>
      <c r="X101" s="626"/>
      <c r="Y101" s="626"/>
      <c r="Z101" s="626"/>
      <c r="AA101" s="626"/>
      <c r="AB101" s="626"/>
      <c r="AC101" s="627">
        <f t="shared" ref="AC101:AC105" si="72">SUM(D101:W101)</f>
        <v>0</v>
      </c>
      <c r="AD101" s="589"/>
    </row>
    <row r="102" spans="1:32">
      <c r="A102" s="588" t="s">
        <v>468</v>
      </c>
      <c r="B102" s="626"/>
      <c r="C102" s="626"/>
      <c r="D102" s="626">
        <f t="shared" ref="D102:W102" si="73">-D22*$AK$22*D$98</f>
        <v>0</v>
      </c>
      <c r="E102" s="626">
        <f t="shared" si="73"/>
        <v>0</v>
      </c>
      <c r="F102" s="626">
        <f t="shared" si="73"/>
        <v>0</v>
      </c>
      <c r="G102" s="626">
        <f t="shared" si="73"/>
        <v>0</v>
      </c>
      <c r="H102" s="626">
        <f t="shared" si="73"/>
        <v>0</v>
      </c>
      <c r="I102" s="626">
        <f t="shared" si="73"/>
        <v>0</v>
      </c>
      <c r="J102" s="626">
        <f t="shared" si="73"/>
        <v>0</v>
      </c>
      <c r="K102" s="626">
        <f t="shared" si="73"/>
        <v>0</v>
      </c>
      <c r="L102" s="626">
        <f t="shared" si="73"/>
        <v>0</v>
      </c>
      <c r="M102" s="626">
        <f t="shared" si="73"/>
        <v>0</v>
      </c>
      <c r="N102" s="626">
        <f t="shared" si="73"/>
        <v>0</v>
      </c>
      <c r="O102" s="626">
        <f t="shared" si="73"/>
        <v>0</v>
      </c>
      <c r="P102" s="626">
        <f t="shared" si="73"/>
        <v>0</v>
      </c>
      <c r="Q102" s="626">
        <f t="shared" si="73"/>
        <v>0</v>
      </c>
      <c r="R102" s="626">
        <f t="shared" si="73"/>
        <v>0</v>
      </c>
      <c r="S102" s="626">
        <f t="shared" si="73"/>
        <v>0</v>
      </c>
      <c r="T102" s="626">
        <f t="shared" si="73"/>
        <v>0</v>
      </c>
      <c r="U102" s="626">
        <f t="shared" si="73"/>
        <v>0</v>
      </c>
      <c r="V102" s="626">
        <f t="shared" si="73"/>
        <v>0</v>
      </c>
      <c r="W102" s="626">
        <f t="shared" si="73"/>
        <v>0</v>
      </c>
      <c r="X102" s="626"/>
      <c r="Y102" s="626"/>
      <c r="Z102" s="626"/>
      <c r="AA102" s="626"/>
      <c r="AB102" s="626"/>
      <c r="AC102" s="627">
        <f t="shared" si="72"/>
        <v>0</v>
      </c>
      <c r="AD102" s="589"/>
    </row>
    <row r="103" spans="1:32">
      <c r="A103" s="588" t="s">
        <v>469</v>
      </c>
      <c r="B103" s="626"/>
      <c r="C103" s="626"/>
      <c r="D103" s="626">
        <f t="shared" ref="D103:W103" si="74">-D23*$AK$22*D$98</f>
        <v>0</v>
      </c>
      <c r="E103" s="626">
        <f t="shared" si="74"/>
        <v>0</v>
      </c>
      <c r="F103" s="626">
        <f t="shared" si="74"/>
        <v>0</v>
      </c>
      <c r="G103" s="626">
        <f t="shared" si="74"/>
        <v>0</v>
      </c>
      <c r="H103" s="626">
        <f t="shared" si="74"/>
        <v>0</v>
      </c>
      <c r="I103" s="626">
        <f t="shared" si="74"/>
        <v>0</v>
      </c>
      <c r="J103" s="626">
        <f t="shared" si="74"/>
        <v>0</v>
      </c>
      <c r="K103" s="626">
        <f t="shared" si="74"/>
        <v>0</v>
      </c>
      <c r="L103" s="626">
        <f t="shared" si="74"/>
        <v>0</v>
      </c>
      <c r="M103" s="626">
        <f t="shared" si="74"/>
        <v>0</v>
      </c>
      <c r="N103" s="626">
        <f t="shared" si="74"/>
        <v>0</v>
      </c>
      <c r="O103" s="626">
        <f t="shared" si="74"/>
        <v>0</v>
      </c>
      <c r="P103" s="626">
        <f t="shared" si="74"/>
        <v>0</v>
      </c>
      <c r="Q103" s="626">
        <f t="shared" si="74"/>
        <v>0</v>
      </c>
      <c r="R103" s="626">
        <f t="shared" si="74"/>
        <v>0</v>
      </c>
      <c r="S103" s="626">
        <f t="shared" si="74"/>
        <v>0</v>
      </c>
      <c r="T103" s="626">
        <f t="shared" si="74"/>
        <v>0</v>
      </c>
      <c r="U103" s="626">
        <f t="shared" si="74"/>
        <v>0</v>
      </c>
      <c r="V103" s="626">
        <f t="shared" si="74"/>
        <v>0</v>
      </c>
      <c r="W103" s="626">
        <f t="shared" si="74"/>
        <v>0</v>
      </c>
      <c r="X103" s="626"/>
      <c r="Y103" s="626"/>
      <c r="Z103" s="626"/>
      <c r="AA103" s="626"/>
      <c r="AB103" s="626"/>
      <c r="AC103" s="627">
        <f t="shared" si="72"/>
        <v>0</v>
      </c>
      <c r="AD103" s="589"/>
    </row>
    <row r="104" spans="1:32">
      <c r="A104" s="588" t="s">
        <v>471</v>
      </c>
      <c r="B104" s="626"/>
      <c r="C104" s="626"/>
      <c r="D104" s="626">
        <f t="shared" ref="D104:W104" si="75">-D24*$AK$22*D$98</f>
        <v>0</v>
      </c>
      <c r="E104" s="626">
        <f t="shared" si="75"/>
        <v>0</v>
      </c>
      <c r="F104" s="626">
        <f t="shared" si="75"/>
        <v>0</v>
      </c>
      <c r="G104" s="626">
        <f t="shared" si="75"/>
        <v>0</v>
      </c>
      <c r="H104" s="626">
        <f t="shared" si="75"/>
        <v>0</v>
      </c>
      <c r="I104" s="626">
        <f t="shared" si="75"/>
        <v>0</v>
      </c>
      <c r="J104" s="626">
        <f t="shared" si="75"/>
        <v>0</v>
      </c>
      <c r="K104" s="626">
        <f t="shared" si="75"/>
        <v>0</v>
      </c>
      <c r="L104" s="626">
        <f t="shared" si="75"/>
        <v>0</v>
      </c>
      <c r="M104" s="626">
        <f t="shared" si="75"/>
        <v>0</v>
      </c>
      <c r="N104" s="626">
        <f t="shared" si="75"/>
        <v>0</v>
      </c>
      <c r="O104" s="626">
        <f t="shared" si="75"/>
        <v>0</v>
      </c>
      <c r="P104" s="626">
        <f t="shared" si="75"/>
        <v>0</v>
      </c>
      <c r="Q104" s="626">
        <f t="shared" si="75"/>
        <v>0</v>
      </c>
      <c r="R104" s="626">
        <f t="shared" si="75"/>
        <v>0</v>
      </c>
      <c r="S104" s="626">
        <f t="shared" si="75"/>
        <v>0</v>
      </c>
      <c r="T104" s="626">
        <f t="shared" si="75"/>
        <v>0</v>
      </c>
      <c r="U104" s="626">
        <f t="shared" si="75"/>
        <v>0</v>
      </c>
      <c r="V104" s="626">
        <f t="shared" si="75"/>
        <v>0</v>
      </c>
      <c r="W104" s="626">
        <f t="shared" si="75"/>
        <v>0</v>
      </c>
      <c r="X104" s="626"/>
      <c r="Y104" s="626"/>
      <c r="Z104" s="626"/>
      <c r="AA104" s="626"/>
      <c r="AB104" s="626"/>
      <c r="AC104" s="627">
        <f t="shared" si="72"/>
        <v>0</v>
      </c>
      <c r="AD104" s="589"/>
    </row>
    <row r="105" spans="1:32" ht="14.4" thickBot="1">
      <c r="A105" s="590" t="s">
        <v>473</v>
      </c>
      <c r="B105" s="591"/>
      <c r="C105" s="591"/>
      <c r="D105" s="591">
        <f>-D25*$AK$22*D$98</f>
        <v>0</v>
      </c>
      <c r="E105" s="591">
        <f t="shared" ref="E105:W105" si="76">-E25*$AK$22*E$98</f>
        <v>0</v>
      </c>
      <c r="F105" s="591">
        <f t="shared" si="76"/>
        <v>0</v>
      </c>
      <c r="G105" s="591">
        <f t="shared" si="76"/>
        <v>0</v>
      </c>
      <c r="H105" s="591">
        <f t="shared" si="76"/>
        <v>0</v>
      </c>
      <c r="I105" s="591">
        <f t="shared" si="76"/>
        <v>0</v>
      </c>
      <c r="J105" s="591">
        <f t="shared" si="76"/>
        <v>0</v>
      </c>
      <c r="K105" s="591">
        <f t="shared" si="76"/>
        <v>0</v>
      </c>
      <c r="L105" s="591">
        <f t="shared" si="76"/>
        <v>0</v>
      </c>
      <c r="M105" s="591">
        <f t="shared" si="76"/>
        <v>0</v>
      </c>
      <c r="N105" s="591">
        <f t="shared" si="76"/>
        <v>0</v>
      </c>
      <c r="O105" s="591">
        <f t="shared" si="76"/>
        <v>0</v>
      </c>
      <c r="P105" s="591">
        <f t="shared" si="76"/>
        <v>0</v>
      </c>
      <c r="Q105" s="591">
        <f t="shared" si="76"/>
        <v>0</v>
      </c>
      <c r="R105" s="591">
        <f t="shared" si="76"/>
        <v>0</v>
      </c>
      <c r="S105" s="591">
        <f t="shared" si="76"/>
        <v>0</v>
      </c>
      <c r="T105" s="591">
        <f t="shared" si="76"/>
        <v>0</v>
      </c>
      <c r="U105" s="591">
        <f t="shared" si="76"/>
        <v>0</v>
      </c>
      <c r="V105" s="591">
        <f t="shared" si="76"/>
        <v>0</v>
      </c>
      <c r="W105" s="591">
        <f t="shared" si="76"/>
        <v>0</v>
      </c>
      <c r="X105" s="591"/>
      <c r="Y105" s="591"/>
      <c r="Z105" s="591"/>
      <c r="AA105" s="591"/>
      <c r="AB105" s="591"/>
      <c r="AC105" s="592">
        <f t="shared" si="72"/>
        <v>0</v>
      </c>
      <c r="AD105" s="589"/>
    </row>
    <row r="106" spans="1:32" ht="14.4" thickTop="1">
      <c r="A106" s="593" t="s">
        <v>451</v>
      </c>
      <c r="B106" s="579"/>
      <c r="C106" s="579"/>
      <c r="D106" s="579">
        <f t="shared" ref="D106:W106" si="77">SUM(D100:D105)</f>
        <v>0</v>
      </c>
      <c r="E106" s="579">
        <f t="shared" si="77"/>
        <v>0</v>
      </c>
      <c r="F106" s="579">
        <f t="shared" si="77"/>
        <v>0</v>
      </c>
      <c r="G106" s="579">
        <f t="shared" si="77"/>
        <v>0</v>
      </c>
      <c r="H106" s="579">
        <f t="shared" si="77"/>
        <v>0</v>
      </c>
      <c r="I106" s="579">
        <f t="shared" si="77"/>
        <v>0</v>
      </c>
      <c r="J106" s="579">
        <f t="shared" si="77"/>
        <v>0</v>
      </c>
      <c r="K106" s="579">
        <f t="shared" si="77"/>
        <v>0</v>
      </c>
      <c r="L106" s="579">
        <f t="shared" si="77"/>
        <v>0</v>
      </c>
      <c r="M106" s="579">
        <f t="shared" si="77"/>
        <v>0</v>
      </c>
      <c r="N106" s="579">
        <f t="shared" si="77"/>
        <v>0</v>
      </c>
      <c r="O106" s="579">
        <f t="shared" si="77"/>
        <v>0</v>
      </c>
      <c r="P106" s="579">
        <f t="shared" si="77"/>
        <v>0</v>
      </c>
      <c r="Q106" s="579">
        <f t="shared" si="77"/>
        <v>0</v>
      </c>
      <c r="R106" s="579">
        <f t="shared" si="77"/>
        <v>0</v>
      </c>
      <c r="S106" s="579">
        <f t="shared" si="77"/>
        <v>0</v>
      </c>
      <c r="T106" s="579">
        <f t="shared" si="77"/>
        <v>0</v>
      </c>
      <c r="U106" s="579">
        <f t="shared" si="77"/>
        <v>0</v>
      </c>
      <c r="V106" s="579">
        <f t="shared" si="77"/>
        <v>0</v>
      </c>
      <c r="W106" s="579">
        <f t="shared" si="77"/>
        <v>0</v>
      </c>
      <c r="X106" s="579"/>
      <c r="Y106" s="579"/>
      <c r="Z106" s="579"/>
      <c r="AA106" s="579"/>
      <c r="AB106" s="579"/>
      <c r="AC106" s="594">
        <f>SUM(D106:W106)</f>
        <v>0</v>
      </c>
      <c r="AD106" s="581"/>
    </row>
    <row r="109" spans="1:32">
      <c r="A109" t="s">
        <v>522</v>
      </c>
      <c r="D109">
        <v>1</v>
      </c>
      <c r="E109">
        <v>1</v>
      </c>
      <c r="F109">
        <v>1</v>
      </c>
      <c r="G109">
        <v>1</v>
      </c>
      <c r="H109">
        <v>1</v>
      </c>
      <c r="I109">
        <v>1</v>
      </c>
      <c r="J109">
        <v>1</v>
      </c>
      <c r="K109">
        <v>1</v>
      </c>
      <c r="L109">
        <v>1</v>
      </c>
      <c r="M109">
        <v>1</v>
      </c>
      <c r="N109">
        <v>1</v>
      </c>
      <c r="O109">
        <v>1</v>
      </c>
      <c r="P109">
        <v>1</v>
      </c>
      <c r="Q109">
        <v>1</v>
      </c>
      <c r="R109">
        <v>1</v>
      </c>
      <c r="S109">
        <v>1</v>
      </c>
      <c r="T109">
        <v>1</v>
      </c>
      <c r="U109">
        <v>1</v>
      </c>
      <c r="V109">
        <v>1</v>
      </c>
      <c r="W109">
        <v>1</v>
      </c>
      <c r="X109">
        <v>1</v>
      </c>
      <c r="Y109">
        <v>1</v>
      </c>
      <c r="Z109">
        <v>1</v>
      </c>
      <c r="AA109">
        <v>1</v>
      </c>
      <c r="AB109">
        <v>1</v>
      </c>
    </row>
    <row r="110" spans="1:32">
      <c r="AF110" t="s">
        <v>537</v>
      </c>
    </row>
    <row r="111" spans="1:32">
      <c r="A111" t="s">
        <v>489</v>
      </c>
      <c r="D111">
        <f>D65</f>
        <v>50</v>
      </c>
      <c r="E111">
        <f t="shared" ref="E111:W111" si="78">E65</f>
        <v>52.222222222222221</v>
      </c>
      <c r="F111">
        <f t="shared" si="78"/>
        <v>54.444444444444443</v>
      </c>
      <c r="G111">
        <f t="shared" si="78"/>
        <v>56.666666666666664</v>
      </c>
      <c r="H111">
        <f t="shared" si="78"/>
        <v>58.888888888888886</v>
      </c>
      <c r="I111">
        <f t="shared" si="78"/>
        <v>61.111111111111114</v>
      </c>
      <c r="J111">
        <f t="shared" si="78"/>
        <v>63.333333333333336</v>
      </c>
      <c r="K111">
        <f t="shared" si="78"/>
        <v>65.555555555555557</v>
      </c>
      <c r="L111">
        <f t="shared" si="78"/>
        <v>67.777777777777771</v>
      </c>
      <c r="M111">
        <f t="shared" si="78"/>
        <v>70</v>
      </c>
      <c r="N111">
        <f t="shared" si="78"/>
        <v>72</v>
      </c>
      <c r="O111">
        <f t="shared" si="78"/>
        <v>74</v>
      </c>
      <c r="P111">
        <f t="shared" si="78"/>
        <v>76</v>
      </c>
      <c r="Q111">
        <f t="shared" si="78"/>
        <v>78</v>
      </c>
      <c r="R111">
        <f t="shared" si="78"/>
        <v>80</v>
      </c>
      <c r="S111">
        <f t="shared" si="78"/>
        <v>82</v>
      </c>
      <c r="T111">
        <f t="shared" si="78"/>
        <v>84</v>
      </c>
      <c r="U111">
        <f t="shared" si="78"/>
        <v>86</v>
      </c>
      <c r="V111">
        <f t="shared" si="78"/>
        <v>88</v>
      </c>
      <c r="W111">
        <f t="shared" si="78"/>
        <v>90</v>
      </c>
      <c r="X111">
        <f>W111+($W111-$V111)</f>
        <v>92</v>
      </c>
      <c r="Y111">
        <f t="shared" ref="Y111:AB111" si="79">X111+($W111-$V111)</f>
        <v>94</v>
      </c>
      <c r="Z111">
        <f t="shared" si="79"/>
        <v>96</v>
      </c>
      <c r="AA111">
        <f t="shared" si="79"/>
        <v>98</v>
      </c>
      <c r="AB111">
        <f t="shared" si="79"/>
        <v>100</v>
      </c>
    </row>
    <row r="115" spans="1:28">
      <c r="A115" t="s">
        <v>117</v>
      </c>
      <c r="B115" t="str">
        <f>Ergebnisse!J16</f>
        <v>Greenfield</v>
      </c>
    </row>
    <row r="117" spans="1:28">
      <c r="A117" s="572" t="s">
        <v>540</v>
      </c>
    </row>
    <row r="118" spans="1:28">
      <c r="A118" t="s">
        <v>523</v>
      </c>
      <c r="D118" s="610">
        <f>Rechner!$R$32</f>
        <v>32.340000000000003</v>
      </c>
      <c r="E118" s="610">
        <f>Rechner!$R$32</f>
        <v>32.340000000000003</v>
      </c>
      <c r="F118" s="610">
        <f>Rechner!$R$32</f>
        <v>32.340000000000003</v>
      </c>
      <c r="G118" s="610">
        <f>Rechner!$R$32</f>
        <v>32.340000000000003</v>
      </c>
      <c r="H118" s="610">
        <f>Rechner!$R$32</f>
        <v>32.340000000000003</v>
      </c>
      <c r="I118" s="610">
        <f>Rechner!$R$32</f>
        <v>32.340000000000003</v>
      </c>
      <c r="J118" s="610">
        <f>Rechner!$R$32</f>
        <v>32.340000000000003</v>
      </c>
      <c r="K118" s="610">
        <f>Rechner!$R$32</f>
        <v>32.340000000000003</v>
      </c>
      <c r="L118" s="610">
        <f>Rechner!$R$32</f>
        <v>32.340000000000003</v>
      </c>
      <c r="M118" s="610">
        <f>Rechner!$R$32</f>
        <v>32.340000000000003</v>
      </c>
      <c r="N118" s="610">
        <f>Rechner!$R$32</f>
        <v>32.340000000000003</v>
      </c>
      <c r="O118" s="610">
        <f>Rechner!$R$32</f>
        <v>32.340000000000003</v>
      </c>
      <c r="P118" s="610">
        <f>Rechner!$R$32</f>
        <v>32.340000000000003</v>
      </c>
      <c r="Q118" s="610">
        <f>Rechner!$R$32</f>
        <v>32.340000000000003</v>
      </c>
      <c r="R118" s="610">
        <f>Rechner!$R$32</f>
        <v>32.340000000000003</v>
      </c>
      <c r="S118" s="610">
        <f>Rechner!$R$32</f>
        <v>32.340000000000003</v>
      </c>
      <c r="T118" s="610">
        <f>Rechner!$R$32</f>
        <v>32.340000000000003</v>
      </c>
      <c r="U118" s="610">
        <f>Rechner!$R$32</f>
        <v>32.340000000000003</v>
      </c>
      <c r="V118" s="610">
        <f>Rechner!$R$32</f>
        <v>32.340000000000003</v>
      </c>
      <c r="W118" s="610">
        <f>Rechner!$R$32</f>
        <v>32.340000000000003</v>
      </c>
      <c r="X118" s="610">
        <f>Rechner!$R$32</f>
        <v>32.340000000000003</v>
      </c>
      <c r="Y118" s="610">
        <f>Rechner!$R$32</f>
        <v>32.340000000000003</v>
      </c>
      <c r="Z118" s="610">
        <f>Rechner!$R$32</f>
        <v>32.340000000000003</v>
      </c>
      <c r="AA118" s="610">
        <f>Rechner!$R$32</f>
        <v>32.340000000000003</v>
      </c>
      <c r="AB118" s="610">
        <f>Rechner!$R$32</f>
        <v>32.340000000000003</v>
      </c>
    </row>
    <row r="119" spans="1:28">
      <c r="A119" t="s">
        <v>524</v>
      </c>
      <c r="D119" s="610">
        <f>Rechner!$R$26</f>
        <v>36.247634898775516</v>
      </c>
      <c r="E119" s="610">
        <f>Rechner!$R$26</f>
        <v>36.247634898775516</v>
      </c>
      <c r="F119" s="610">
        <f>Rechner!$R$26</f>
        <v>36.247634898775516</v>
      </c>
      <c r="G119" s="610">
        <f>Rechner!$R$26</f>
        <v>36.247634898775516</v>
      </c>
      <c r="H119" s="610">
        <f>Rechner!$R$26</f>
        <v>36.247634898775516</v>
      </c>
      <c r="I119" s="610">
        <f>Rechner!$R$26</f>
        <v>36.247634898775516</v>
      </c>
      <c r="J119" s="610">
        <f>Rechner!$R$26</f>
        <v>36.247634898775516</v>
      </c>
      <c r="K119" s="610">
        <f>Rechner!$R$26</f>
        <v>36.247634898775516</v>
      </c>
      <c r="L119" s="610">
        <f>Rechner!$R$26</f>
        <v>36.247634898775516</v>
      </c>
      <c r="M119" s="610">
        <f>Rechner!$R$26</f>
        <v>36.247634898775516</v>
      </c>
      <c r="N119" s="610">
        <f>Rechner!$R$26</f>
        <v>36.247634898775516</v>
      </c>
      <c r="O119" s="610">
        <f>Rechner!$R$26</f>
        <v>36.247634898775516</v>
      </c>
      <c r="P119" s="610">
        <f>Rechner!$R$26</f>
        <v>36.247634898775516</v>
      </c>
      <c r="Q119" s="610">
        <f>Rechner!$R$26</f>
        <v>36.247634898775516</v>
      </c>
      <c r="R119" s="610">
        <f>Rechner!$R$26</f>
        <v>36.247634898775516</v>
      </c>
      <c r="S119" s="610">
        <f>Rechner!$R$26</f>
        <v>36.247634898775516</v>
      </c>
      <c r="T119" s="610">
        <f>Rechner!$R$26</f>
        <v>36.247634898775516</v>
      </c>
      <c r="U119" s="610">
        <f>Rechner!$R$26</f>
        <v>36.247634898775516</v>
      </c>
      <c r="V119" s="610">
        <f>Rechner!$R$26</f>
        <v>36.247634898775516</v>
      </c>
      <c r="W119" s="610">
        <f>Rechner!$R$26</f>
        <v>36.247634898775516</v>
      </c>
      <c r="X119" s="610">
        <f>Rechner!$R$26</f>
        <v>36.247634898775516</v>
      </c>
      <c r="Y119" s="610">
        <f>Rechner!$R$26</f>
        <v>36.247634898775516</v>
      </c>
      <c r="Z119" s="610">
        <f>Rechner!$R$26</f>
        <v>36.247634898775516</v>
      </c>
      <c r="AA119" s="610">
        <f>Rechner!$R$26</f>
        <v>36.247634898775516</v>
      </c>
      <c r="AB119" s="610">
        <f>Rechner!$R$26</f>
        <v>36.247634898775516</v>
      </c>
    </row>
    <row r="120" spans="1:28">
      <c r="A120" t="s">
        <v>525</v>
      </c>
      <c r="D120">
        <f t="shared" ref="D120:W120" si="80">D109*D111*($AJ$25-D66)</f>
        <v>4.9637333333333311</v>
      </c>
      <c r="E120">
        <f t="shared" si="80"/>
        <v>5.1843437037037017</v>
      </c>
      <c r="F120">
        <f t="shared" si="80"/>
        <v>5.4049540740740714</v>
      </c>
      <c r="G120">
        <f t="shared" si="80"/>
        <v>5.6255644444444419</v>
      </c>
      <c r="H120">
        <f t="shared" si="80"/>
        <v>5.8461748148148116</v>
      </c>
      <c r="I120">
        <f t="shared" si="80"/>
        <v>10.144933333333329</v>
      </c>
      <c r="J120">
        <f t="shared" si="80"/>
        <v>14.740284444444439</v>
      </c>
      <c r="K120">
        <f t="shared" si="80"/>
        <v>19.632228148148148</v>
      </c>
      <c r="L120">
        <f t="shared" si="80"/>
        <v>24.820764444444439</v>
      </c>
      <c r="M120">
        <f t="shared" si="80"/>
        <v>30.30589333333333</v>
      </c>
      <c r="N120">
        <f t="shared" si="80"/>
        <v>35.976575999999994</v>
      </c>
      <c r="O120">
        <f t="shared" si="80"/>
        <v>41.914192</v>
      </c>
      <c r="P120">
        <f t="shared" si="80"/>
        <v>48.118741333333332</v>
      </c>
      <c r="Q120">
        <f t="shared" si="80"/>
        <v>54.590223999999999</v>
      </c>
      <c r="R120">
        <f t="shared" si="80"/>
        <v>61.328639999999993</v>
      </c>
      <c r="S120">
        <f t="shared" si="80"/>
        <v>62.861855999999996</v>
      </c>
      <c r="T120">
        <f t="shared" si="80"/>
        <v>64.395071999999999</v>
      </c>
      <c r="U120">
        <f t="shared" si="80"/>
        <v>65.928287999999995</v>
      </c>
      <c r="V120">
        <f t="shared" si="80"/>
        <v>67.461503999999991</v>
      </c>
      <c r="W120">
        <f t="shared" si="80"/>
        <v>68.994720000000001</v>
      </c>
      <c r="X120">
        <f t="shared" ref="X120:AB120" si="81">X109*X111*($AJ$25-X66)</f>
        <v>70.527935999999997</v>
      </c>
      <c r="Y120">
        <f t="shared" si="81"/>
        <v>72.061151999999993</v>
      </c>
      <c r="Z120">
        <f t="shared" si="81"/>
        <v>73.594368000000003</v>
      </c>
      <c r="AA120">
        <f t="shared" si="81"/>
        <v>75.127583999999999</v>
      </c>
      <c r="AB120">
        <f t="shared" si="81"/>
        <v>76.660799999999995</v>
      </c>
    </row>
    <row r="121" spans="1:28">
      <c r="A121" t="s">
        <v>532</v>
      </c>
      <c r="D121" s="610">
        <f>D119+D120</f>
        <v>41.211368232108846</v>
      </c>
      <c r="E121" s="610">
        <f t="shared" ref="E121:W121" si="82">E119+E120</f>
        <v>41.431978602479219</v>
      </c>
      <c r="F121" s="610">
        <f t="shared" si="82"/>
        <v>41.652588972849586</v>
      </c>
      <c r="G121" s="610">
        <f t="shared" si="82"/>
        <v>41.873199343219959</v>
      </c>
      <c r="H121" s="610">
        <f t="shared" si="82"/>
        <v>42.093809713590325</v>
      </c>
      <c r="I121" s="610">
        <f t="shared" si="82"/>
        <v>46.392568232108843</v>
      </c>
      <c r="J121" s="610">
        <f t="shared" si="82"/>
        <v>50.987919343219957</v>
      </c>
      <c r="K121" s="610">
        <f t="shared" si="82"/>
        <v>55.87986304692366</v>
      </c>
      <c r="L121" s="610">
        <f t="shared" si="82"/>
        <v>61.068399343219951</v>
      </c>
      <c r="M121" s="610">
        <f t="shared" si="82"/>
        <v>66.553528232108846</v>
      </c>
      <c r="N121" s="610">
        <f t="shared" si="82"/>
        <v>72.22421089877551</v>
      </c>
      <c r="O121" s="610">
        <f t="shared" si="82"/>
        <v>78.161826898775516</v>
      </c>
      <c r="P121" s="610">
        <f t="shared" si="82"/>
        <v>84.366376232108848</v>
      </c>
      <c r="Q121" s="610">
        <f t="shared" si="82"/>
        <v>90.837858898775522</v>
      </c>
      <c r="R121" s="610">
        <f t="shared" si="82"/>
        <v>97.576274898775509</v>
      </c>
      <c r="S121" s="610">
        <f t="shared" si="82"/>
        <v>99.109490898775505</v>
      </c>
      <c r="T121" s="610">
        <f t="shared" si="82"/>
        <v>100.64270689877551</v>
      </c>
      <c r="U121" s="610">
        <f t="shared" si="82"/>
        <v>102.17592289877551</v>
      </c>
      <c r="V121" s="610">
        <f t="shared" si="82"/>
        <v>103.70913889877551</v>
      </c>
      <c r="W121" s="610">
        <f t="shared" si="82"/>
        <v>105.24235489877552</v>
      </c>
      <c r="X121" s="610">
        <f t="shared" ref="X121:AB121" si="83">X119+X120</f>
        <v>106.77557089877551</v>
      </c>
      <c r="Y121" s="610">
        <f t="shared" si="83"/>
        <v>108.30878689877551</v>
      </c>
      <c r="Z121" s="610">
        <f t="shared" si="83"/>
        <v>109.84200289877552</v>
      </c>
      <c r="AA121" s="610">
        <f t="shared" si="83"/>
        <v>111.37521889877551</v>
      </c>
      <c r="AB121" s="610">
        <f t="shared" si="83"/>
        <v>112.90843489877551</v>
      </c>
    </row>
    <row r="122" spans="1:28">
      <c r="A122" t="s">
        <v>533</v>
      </c>
      <c r="D122" s="610">
        <f>D118+D119+D120</f>
        <v>73.551368232108857</v>
      </c>
      <c r="E122" s="610">
        <f t="shared" ref="E122:W122" si="84">E118+E119+E120</f>
        <v>73.771978602479223</v>
      </c>
      <c r="F122" s="610">
        <f t="shared" si="84"/>
        <v>73.992588972849589</v>
      </c>
      <c r="G122" s="610">
        <f t="shared" si="84"/>
        <v>74.213199343219955</v>
      </c>
      <c r="H122" s="610">
        <f t="shared" si="84"/>
        <v>74.433809713590335</v>
      </c>
      <c r="I122" s="610">
        <f t="shared" si="84"/>
        <v>78.732568232108846</v>
      </c>
      <c r="J122" s="610">
        <f t="shared" si="84"/>
        <v>83.327919343219961</v>
      </c>
      <c r="K122" s="610">
        <f t="shared" si="84"/>
        <v>88.219863046923663</v>
      </c>
      <c r="L122" s="610">
        <f t="shared" si="84"/>
        <v>93.408399343219955</v>
      </c>
      <c r="M122" s="610">
        <f t="shared" si="84"/>
        <v>98.893528232108849</v>
      </c>
      <c r="N122" s="610">
        <f t="shared" si="84"/>
        <v>104.56421089877551</v>
      </c>
      <c r="O122" s="610">
        <f t="shared" si="84"/>
        <v>110.50182689877552</v>
      </c>
      <c r="P122" s="610">
        <f t="shared" si="84"/>
        <v>116.70637623210885</v>
      </c>
      <c r="Q122" s="610">
        <f t="shared" si="84"/>
        <v>123.17785889877553</v>
      </c>
      <c r="R122" s="610">
        <f t="shared" si="84"/>
        <v>129.9162748987755</v>
      </c>
      <c r="S122" s="610">
        <f t="shared" si="84"/>
        <v>131.44949089877551</v>
      </c>
      <c r="T122" s="610">
        <f t="shared" si="84"/>
        <v>132.98270689877552</v>
      </c>
      <c r="U122" s="610">
        <f t="shared" si="84"/>
        <v>134.5159228987755</v>
      </c>
      <c r="V122" s="610">
        <f t="shared" si="84"/>
        <v>136.04913889877551</v>
      </c>
      <c r="W122" s="610">
        <f t="shared" si="84"/>
        <v>137.58235489877552</v>
      </c>
      <c r="X122" s="610">
        <f t="shared" ref="X122:AB122" si="85">X118+X119+X120</f>
        <v>139.1155708987755</v>
      </c>
      <c r="Y122" s="610">
        <f t="shared" si="85"/>
        <v>140.64878689877551</v>
      </c>
      <c r="Z122" s="610">
        <f t="shared" si="85"/>
        <v>142.18200289877552</v>
      </c>
      <c r="AA122" s="610">
        <f t="shared" si="85"/>
        <v>143.7152188987755</v>
      </c>
      <c r="AB122" s="610">
        <f t="shared" si="85"/>
        <v>145.24843489877551</v>
      </c>
    </row>
    <row r="124" spans="1:28">
      <c r="A124" s="572" t="s">
        <v>539</v>
      </c>
    </row>
    <row r="125" spans="1:28">
      <c r="A125" t="s">
        <v>523</v>
      </c>
      <c r="D125" s="610">
        <f>Rechner!$AC$32</f>
        <v>40.599999999999994</v>
      </c>
      <c r="E125" s="610">
        <f>Rechner!$AC$32</f>
        <v>40.599999999999994</v>
      </c>
      <c r="F125" s="610">
        <f>Rechner!$AC$32</f>
        <v>40.599999999999994</v>
      </c>
      <c r="G125" s="610">
        <f>Rechner!$AC$32</f>
        <v>40.599999999999994</v>
      </c>
      <c r="H125" s="610">
        <f>Rechner!$AC$32</f>
        <v>40.599999999999994</v>
      </c>
      <c r="I125" s="610">
        <f>Rechner!$AC$32</f>
        <v>40.599999999999994</v>
      </c>
      <c r="J125" s="610">
        <f>Rechner!$AC$32</f>
        <v>40.599999999999994</v>
      </c>
      <c r="K125" s="610">
        <f>Rechner!$AC$32</f>
        <v>40.599999999999994</v>
      </c>
      <c r="L125" s="610">
        <f>Rechner!$AC$32</f>
        <v>40.599999999999994</v>
      </c>
      <c r="M125" s="610">
        <f>Rechner!$AC$32</f>
        <v>40.599999999999994</v>
      </c>
      <c r="N125" s="610">
        <f>Rechner!$AC$32</f>
        <v>40.599999999999994</v>
      </c>
      <c r="O125" s="610">
        <f>Rechner!$AC$32</f>
        <v>40.599999999999994</v>
      </c>
      <c r="P125" s="610">
        <f>Rechner!$AC$32</f>
        <v>40.599999999999994</v>
      </c>
      <c r="Q125" s="610">
        <f>Rechner!$AC$32</f>
        <v>40.599999999999994</v>
      </c>
      <c r="R125" s="610">
        <f>Rechner!$AC$32</f>
        <v>40.599999999999994</v>
      </c>
      <c r="S125" s="610">
        <f>Rechner!$AC$32</f>
        <v>40.599999999999994</v>
      </c>
      <c r="T125" s="610">
        <f>Rechner!$AC$32</f>
        <v>40.599999999999994</v>
      </c>
      <c r="U125" s="610">
        <f>Rechner!$AC$32</f>
        <v>40.599999999999994</v>
      </c>
      <c r="V125" s="610">
        <f>Rechner!$AC$32</f>
        <v>40.599999999999994</v>
      </c>
      <c r="W125" s="610">
        <f>Rechner!$AC$32</f>
        <v>40.599999999999994</v>
      </c>
      <c r="X125" s="610">
        <f>Rechner!$AC$32</f>
        <v>40.599999999999994</v>
      </c>
      <c r="Y125" s="610">
        <f>Rechner!$AC$32</f>
        <v>40.599999999999994</v>
      </c>
      <c r="Z125" s="610">
        <f>Rechner!$AC$32</f>
        <v>40.599999999999994</v>
      </c>
      <c r="AA125" s="610">
        <f>Rechner!$AC$32</f>
        <v>40.599999999999994</v>
      </c>
      <c r="AB125" s="610">
        <f>Rechner!$AC$32</f>
        <v>40.599999999999994</v>
      </c>
    </row>
    <row r="126" spans="1:28">
      <c r="A126" t="s">
        <v>524</v>
      </c>
      <c r="D126" s="610">
        <f>SUM(Rechner!$AC$9:$AC$20)+Rechner!$AC$24+'Markthochlauf Oxyfuel'!$AG$13</f>
        <v>85.951741364448353</v>
      </c>
      <c r="E126" s="610">
        <f>SUM(Rechner!$AC$9:$AC$20)+Rechner!$AC$24+'Markthochlauf Oxyfuel'!$AG$13</f>
        <v>85.951741364448353</v>
      </c>
      <c r="F126" s="610">
        <f>SUM(Rechner!$AC$9:$AC$20)+Rechner!$AC$24+'Markthochlauf Oxyfuel'!$AG$13</f>
        <v>85.951741364448353</v>
      </c>
      <c r="G126" s="610">
        <f>SUM(Rechner!$AC$9:$AC$20)+Rechner!$AC$24+'Markthochlauf Oxyfuel'!$AG$13</f>
        <v>85.951741364448353</v>
      </c>
      <c r="H126" s="610">
        <f>SUM(Rechner!$AC$9:$AC$20)+Rechner!$AC$24+'Markthochlauf Oxyfuel'!$AG$13</f>
        <v>85.951741364448353</v>
      </c>
      <c r="I126" s="610">
        <f>SUM(Rechner!$AC$9:$AC$20)+Rechner!$AC$24+'Markthochlauf Oxyfuel'!$AG$13</f>
        <v>85.951741364448353</v>
      </c>
      <c r="J126" s="610">
        <f>SUM(Rechner!$AC$9:$AC$20)+Rechner!$AC$24+'Markthochlauf Oxyfuel'!$AG$13</f>
        <v>85.951741364448353</v>
      </c>
      <c r="K126" s="610">
        <f>SUM(Rechner!$AC$9:$AC$20)+Rechner!$AC$24+'Markthochlauf Oxyfuel'!$AG$13</f>
        <v>85.951741364448353</v>
      </c>
      <c r="L126" s="610">
        <f>SUM(Rechner!$AC$9:$AC$20)+Rechner!$AC$24+'Markthochlauf Oxyfuel'!$AG$13</f>
        <v>85.951741364448353</v>
      </c>
      <c r="M126" s="610">
        <f>SUM(Rechner!$AC$9:$AC$20)+Rechner!$AC$24+'Markthochlauf Oxyfuel'!$AG$13</f>
        <v>85.951741364448353</v>
      </c>
      <c r="N126" s="610">
        <f>SUM(Rechner!$AC$9:$AC$20)+Rechner!$AC$24+'Markthochlauf Oxyfuel'!$AG$13</f>
        <v>85.951741364448353</v>
      </c>
      <c r="O126" s="610">
        <f>SUM(Rechner!$AC$9:$AC$20)+Rechner!$AC$24+'Markthochlauf Oxyfuel'!$AG$13</f>
        <v>85.951741364448353</v>
      </c>
      <c r="P126" s="610">
        <f>SUM(Rechner!$AC$9:$AC$20)+Rechner!$AC$24+'Markthochlauf Oxyfuel'!$AG$13</f>
        <v>85.951741364448353</v>
      </c>
      <c r="Q126" s="610">
        <f>SUM(Rechner!$AC$9:$AC$20)+Rechner!$AC$24+'Markthochlauf Oxyfuel'!$AG$13</f>
        <v>85.951741364448353</v>
      </c>
      <c r="R126" s="610">
        <f>SUM(Rechner!$AC$9:$AC$20)+Rechner!$AC$24+'Markthochlauf Oxyfuel'!$AG$13</f>
        <v>85.951741364448353</v>
      </c>
      <c r="S126" s="610">
        <f>SUM(Rechner!$AC$9:$AC$20)+Rechner!$AC$24+'Markthochlauf Oxyfuel'!$AG$13</f>
        <v>85.951741364448353</v>
      </c>
      <c r="T126" s="610">
        <f>SUM(Rechner!$AC$9:$AC$20)+Rechner!$AC$24+'Markthochlauf Oxyfuel'!$AG$13</f>
        <v>85.951741364448353</v>
      </c>
      <c r="U126" s="610">
        <f>SUM(Rechner!$AC$9:$AC$20)+Rechner!$AC$24+'Markthochlauf Oxyfuel'!$AG$13</f>
        <v>85.951741364448353</v>
      </c>
      <c r="V126" s="610">
        <f>SUM(Rechner!$AC$9:$AC$20)+Rechner!$AC$24+'Markthochlauf Oxyfuel'!$AG$13</f>
        <v>85.951741364448353</v>
      </c>
      <c r="W126" s="610">
        <f>SUM(Rechner!$AC$9:$AC$20)+Rechner!$AC$24+'Markthochlauf Oxyfuel'!$AG$13</f>
        <v>85.951741364448353</v>
      </c>
      <c r="X126" s="610">
        <f>SUM(Rechner!$AC$9:$AC$20)+Rechner!$AC$24+'Markthochlauf Oxyfuel'!$AG$13</f>
        <v>85.951741364448353</v>
      </c>
      <c r="Y126" s="610">
        <f>SUM(Rechner!$AC$9:$AC$20)+Rechner!$AC$24+'Markthochlauf Oxyfuel'!$AG$13</f>
        <v>85.951741364448353</v>
      </c>
      <c r="Z126" s="610">
        <f>SUM(Rechner!$AC$9:$AC$20)+Rechner!$AC$24+'Markthochlauf Oxyfuel'!$AG$13</f>
        <v>85.951741364448353</v>
      </c>
      <c r="AA126" s="610">
        <f>SUM(Rechner!$AC$9:$AC$20)+Rechner!$AC$24+'Markthochlauf Oxyfuel'!$AG$13</f>
        <v>85.951741364448353</v>
      </c>
      <c r="AB126" s="610">
        <f>SUM(Rechner!$AC$9:$AC$20)+Rechner!$AC$24+'Markthochlauf Oxyfuel'!$AG$13</f>
        <v>85.951741364448353</v>
      </c>
    </row>
    <row r="127" spans="1:28">
      <c r="A127" t="s">
        <v>525</v>
      </c>
      <c r="D127">
        <f t="shared" ref="D127:W127" si="86">D109*D111*($AK$25-D67)</f>
        <v>-29.533626666666667</v>
      </c>
      <c r="E127">
        <f t="shared" si="86"/>
        <v>-30.846232296296296</v>
      </c>
      <c r="F127">
        <f t="shared" si="86"/>
        <v>-32.15883792592593</v>
      </c>
      <c r="G127">
        <f t="shared" si="86"/>
        <v>-33.471443555555553</v>
      </c>
      <c r="H127">
        <f t="shared" si="86"/>
        <v>-34.784049185185182</v>
      </c>
      <c r="I127">
        <f t="shared" si="86"/>
        <v>-32.018506666666674</v>
      </c>
      <c r="J127">
        <f t="shared" si="86"/>
        <v>-28.95637155555556</v>
      </c>
      <c r="K127">
        <f t="shared" si="86"/>
        <v>-25.597643851851853</v>
      </c>
      <c r="L127">
        <f t="shared" si="86"/>
        <v>-21.942323555555554</v>
      </c>
      <c r="M127">
        <f t="shared" si="86"/>
        <v>-17.990410666666669</v>
      </c>
      <c r="N127">
        <f t="shared" si="86"/>
        <v>-13.699622400000003</v>
      </c>
      <c r="O127">
        <f t="shared" si="86"/>
        <v>-9.1419008000000019</v>
      </c>
      <c r="P127">
        <f t="shared" si="86"/>
        <v>-4.3172458666666698</v>
      </c>
      <c r="Q127">
        <f t="shared" si="86"/>
        <v>0.77434239999999743</v>
      </c>
      <c r="R127">
        <f t="shared" si="86"/>
        <v>6.1328639999999979</v>
      </c>
      <c r="S127">
        <f t="shared" si="86"/>
        <v>6.2861855999999978</v>
      </c>
      <c r="T127">
        <f t="shared" si="86"/>
        <v>6.4395071999999978</v>
      </c>
      <c r="U127">
        <f t="shared" si="86"/>
        <v>6.5928287999999977</v>
      </c>
      <c r="V127">
        <f t="shared" si="86"/>
        <v>6.7461503999999977</v>
      </c>
      <c r="W127">
        <f t="shared" si="86"/>
        <v>6.8994719999999976</v>
      </c>
      <c r="X127">
        <f t="shared" ref="X127:AB127" si="87">X109*X111*($AK$25-X67)</f>
        <v>7.0527935999999976</v>
      </c>
      <c r="Y127">
        <f t="shared" si="87"/>
        <v>7.2061151999999975</v>
      </c>
      <c r="Z127">
        <f t="shared" si="87"/>
        <v>7.3594367999999974</v>
      </c>
      <c r="AA127">
        <f t="shared" si="87"/>
        <v>7.5127583999999974</v>
      </c>
      <c r="AB127">
        <f t="shared" si="87"/>
        <v>7.6660799999999973</v>
      </c>
    </row>
    <row r="128" spans="1:28">
      <c r="A128" t="s">
        <v>532</v>
      </c>
      <c r="D128" s="610">
        <f>D126+D127</f>
        <v>56.418114697781689</v>
      </c>
      <c r="E128" s="610">
        <f t="shared" ref="E128:W128" si="88">E126+E127</f>
        <v>55.10550906815206</v>
      </c>
      <c r="F128" s="610">
        <f t="shared" si="88"/>
        <v>53.792903438522423</v>
      </c>
      <c r="G128" s="610">
        <f t="shared" si="88"/>
        <v>52.4802978088928</v>
      </c>
      <c r="H128" s="610">
        <f t="shared" si="88"/>
        <v>51.16769217926317</v>
      </c>
      <c r="I128" s="610">
        <f t="shared" si="88"/>
        <v>53.933234697781678</v>
      </c>
      <c r="J128" s="610">
        <f t="shared" si="88"/>
        <v>56.995369808892789</v>
      </c>
      <c r="K128" s="610">
        <f t="shared" si="88"/>
        <v>60.354097512596496</v>
      </c>
      <c r="L128" s="610">
        <f t="shared" si="88"/>
        <v>64.009417808892806</v>
      </c>
      <c r="M128" s="610">
        <f t="shared" si="88"/>
        <v>67.961330697781676</v>
      </c>
      <c r="N128" s="610">
        <f t="shared" si="88"/>
        <v>72.252118964448357</v>
      </c>
      <c r="O128" s="610">
        <f t="shared" si="88"/>
        <v>76.809840564448351</v>
      </c>
      <c r="P128" s="610">
        <f t="shared" si="88"/>
        <v>81.634495497781685</v>
      </c>
      <c r="Q128" s="610">
        <f t="shared" si="88"/>
        <v>86.726083764448347</v>
      </c>
      <c r="R128" s="610">
        <f t="shared" si="88"/>
        <v>92.08460536444835</v>
      </c>
      <c r="S128" s="610">
        <f t="shared" si="88"/>
        <v>92.237926964448349</v>
      </c>
      <c r="T128" s="610">
        <f t="shared" si="88"/>
        <v>92.391248564448347</v>
      </c>
      <c r="U128" s="610">
        <f t="shared" si="88"/>
        <v>92.544570164448345</v>
      </c>
      <c r="V128" s="610">
        <f t="shared" si="88"/>
        <v>92.697891764448343</v>
      </c>
      <c r="W128" s="610">
        <f t="shared" si="88"/>
        <v>92.851213364448355</v>
      </c>
      <c r="X128" s="610">
        <f t="shared" ref="X128:AB128" si="89">X126+X127</f>
        <v>93.004534964448354</v>
      </c>
      <c r="Y128" s="610">
        <f t="shared" si="89"/>
        <v>93.157856564448352</v>
      </c>
      <c r="Z128" s="610">
        <f t="shared" si="89"/>
        <v>93.31117816444835</v>
      </c>
      <c r="AA128" s="610">
        <f t="shared" si="89"/>
        <v>93.464499764448348</v>
      </c>
      <c r="AB128" s="610">
        <f t="shared" si="89"/>
        <v>93.617821364448346</v>
      </c>
    </row>
    <row r="129" spans="1:28">
      <c r="A129" t="s">
        <v>533</v>
      </c>
      <c r="D129" s="610">
        <f>D125+D126+D127</f>
        <v>97.018114697781684</v>
      </c>
      <c r="E129" s="610">
        <f t="shared" ref="E129:W129" si="90">E125+E126+E127</f>
        <v>95.705509068152054</v>
      </c>
      <c r="F129" s="610">
        <f t="shared" si="90"/>
        <v>94.39290343852241</v>
      </c>
      <c r="G129" s="610">
        <f t="shared" si="90"/>
        <v>93.080297808892794</v>
      </c>
      <c r="H129" s="610">
        <f t="shared" si="90"/>
        <v>91.767692179263165</v>
      </c>
      <c r="I129" s="610">
        <f t="shared" si="90"/>
        <v>94.533234697781666</v>
      </c>
      <c r="J129" s="610">
        <f t="shared" si="90"/>
        <v>97.595369808892784</v>
      </c>
      <c r="K129" s="610">
        <f t="shared" si="90"/>
        <v>100.95409751259649</v>
      </c>
      <c r="L129" s="610">
        <f t="shared" si="90"/>
        <v>104.6094178088928</v>
      </c>
      <c r="M129" s="610">
        <f t="shared" si="90"/>
        <v>108.56133069778167</v>
      </c>
      <c r="N129" s="610">
        <f t="shared" si="90"/>
        <v>112.85211896444835</v>
      </c>
      <c r="O129" s="610">
        <f t="shared" si="90"/>
        <v>117.40984056444834</v>
      </c>
      <c r="P129" s="610">
        <f t="shared" si="90"/>
        <v>122.23449549778168</v>
      </c>
      <c r="Q129" s="610">
        <f t="shared" si="90"/>
        <v>127.32608376444834</v>
      </c>
      <c r="R129" s="610">
        <f t="shared" si="90"/>
        <v>132.68460536444834</v>
      </c>
      <c r="S129" s="610">
        <f t="shared" si="90"/>
        <v>132.83792696444834</v>
      </c>
      <c r="T129" s="610">
        <f t="shared" si="90"/>
        <v>132.99124856444834</v>
      </c>
      <c r="U129" s="610">
        <f t="shared" si="90"/>
        <v>133.14457016444834</v>
      </c>
      <c r="V129" s="610">
        <f t="shared" si="90"/>
        <v>133.29789176444834</v>
      </c>
      <c r="W129" s="610">
        <f t="shared" si="90"/>
        <v>133.45121336444834</v>
      </c>
      <c r="X129" s="610">
        <f t="shared" ref="X129:AB129" si="91">X125+X126+X127</f>
        <v>133.60453496444833</v>
      </c>
      <c r="Y129" s="610">
        <f t="shared" si="91"/>
        <v>133.75785656444833</v>
      </c>
      <c r="Z129" s="610">
        <f t="shared" si="91"/>
        <v>133.91117816444836</v>
      </c>
      <c r="AA129" s="610">
        <f t="shared" si="91"/>
        <v>134.06449976444836</v>
      </c>
      <c r="AB129" s="610">
        <f t="shared" si="91"/>
        <v>134.21782136444835</v>
      </c>
    </row>
    <row r="133" spans="1:28">
      <c r="A133" s="572" t="s">
        <v>534</v>
      </c>
    </row>
    <row r="134" spans="1:28">
      <c r="A134" t="s">
        <v>538</v>
      </c>
      <c r="B134" t="s">
        <v>535</v>
      </c>
      <c r="D134" s="613">
        <f t="shared" ref="D134:W134" si="92">(D129-D122)/D122</f>
        <v>0.31905248032392708</v>
      </c>
      <c r="E134" s="613">
        <f t="shared" si="92"/>
        <v>0.29731519855068278</v>
      </c>
      <c r="F134" s="613">
        <f t="shared" si="92"/>
        <v>0.27570753705020912</v>
      </c>
      <c r="G134" s="613">
        <f t="shared" si="92"/>
        <v>0.25422833987275767</v>
      </c>
      <c r="H134" s="613">
        <f t="shared" si="92"/>
        <v>0.23287646477280821</v>
      </c>
      <c r="I134" s="613">
        <f t="shared" si="92"/>
        <v>0.20068780709771086</v>
      </c>
      <c r="J134" s="613">
        <f t="shared" si="92"/>
        <v>0.17122052942311591</v>
      </c>
      <c r="K134" s="613">
        <f t="shared" si="92"/>
        <v>0.14434656806143031</v>
      </c>
      <c r="L134" s="613">
        <f t="shared" si="92"/>
        <v>0.11991446748290598</v>
      </c>
      <c r="M134" s="613">
        <f t="shared" si="92"/>
        <v>9.7759708228651002E-2</v>
      </c>
      <c r="N134" s="613">
        <f t="shared" si="92"/>
        <v>7.9261422186755984E-2</v>
      </c>
      <c r="O134" s="613">
        <f t="shared" si="92"/>
        <v>6.2514927214740681E-2</v>
      </c>
      <c r="P134" s="613">
        <f t="shared" si="92"/>
        <v>4.7367756965380814E-2</v>
      </c>
      <c r="Q134" s="613">
        <f t="shared" si="92"/>
        <v>3.3676708645193475E-2</v>
      </c>
      <c r="R134" s="613">
        <f t="shared" si="92"/>
        <v>2.1308573293298289E-2</v>
      </c>
      <c r="S134" s="613">
        <f t="shared" si="92"/>
        <v>1.0562506223337289E-2</v>
      </c>
      <c r="T134" s="613">
        <f t="shared" si="92"/>
        <v>6.4231401751541759E-5</v>
      </c>
      <c r="U134" s="613">
        <f t="shared" si="92"/>
        <v>-1.0194724199001456E-2</v>
      </c>
      <c r="V134" s="613">
        <f t="shared" si="92"/>
        <v>-2.022245165678101E-2</v>
      </c>
      <c r="W134" s="613">
        <f t="shared" si="92"/>
        <v>-3.0026681381973872E-2</v>
      </c>
      <c r="X134" s="613">
        <f t="shared" ref="X134:AB134" si="93">(X129-X122)/X122</f>
        <v>-3.9614802992377872E-2</v>
      </c>
      <c r="Y134" s="613">
        <f t="shared" si="93"/>
        <v>-4.8993883888145878E-2</v>
      </c>
      <c r="Z134" s="613">
        <f t="shared" si="93"/>
        <v>-5.8170686624913148E-2</v>
      </c>
      <c r="AA134" s="613">
        <f t="shared" si="93"/>
        <v>-6.7151685174863376E-2</v>
      </c>
      <c r="AB134" s="613">
        <f t="shared" si="93"/>
        <v>-7.5943080157899523E-2</v>
      </c>
    </row>
    <row r="135" spans="1:28">
      <c r="A135" t="s">
        <v>538</v>
      </c>
      <c r="B135" t="s">
        <v>536</v>
      </c>
      <c r="D135" s="613">
        <f t="shared" ref="D135:W135" si="94">(D128-D121)/D121</f>
        <v>0.36899397224634906</v>
      </c>
      <c r="E135" s="613">
        <f t="shared" si="94"/>
        <v>0.33002359353542049</v>
      </c>
      <c r="F135" s="613">
        <f t="shared" si="94"/>
        <v>0.29146602324254706</v>
      </c>
      <c r="G135" s="613">
        <f t="shared" si="94"/>
        <v>0.25331473668229093</v>
      </c>
      <c r="H135" s="613">
        <f t="shared" si="94"/>
        <v>0.21556334595068191</v>
      </c>
      <c r="I135" s="613">
        <f t="shared" si="94"/>
        <v>0.16254039715899693</v>
      </c>
      <c r="J135" s="613">
        <f t="shared" si="94"/>
        <v>0.11782105532163992</v>
      </c>
      <c r="K135" s="613">
        <f t="shared" si="94"/>
        <v>8.006881587944685E-2</v>
      </c>
      <c r="L135" s="613">
        <f t="shared" si="94"/>
        <v>4.8159416282447194E-2</v>
      </c>
      <c r="M135" s="613">
        <f t="shared" si="94"/>
        <v>2.1152935134603937E-2</v>
      </c>
      <c r="N135" s="613">
        <f t="shared" si="94"/>
        <v>3.864087308888814E-4</v>
      </c>
      <c r="O135" s="613">
        <f t="shared" si="94"/>
        <v>-1.7297271417134E-2</v>
      </c>
      <c r="P135" s="613">
        <f t="shared" si="94"/>
        <v>-3.2381155340976249E-2</v>
      </c>
      <c r="Q135" s="613">
        <f t="shared" si="94"/>
        <v>-4.5264993959281893E-2</v>
      </c>
      <c r="R135" s="613">
        <f t="shared" si="94"/>
        <v>-5.6280786902596483E-2</v>
      </c>
      <c r="S135" s="613">
        <f t="shared" si="94"/>
        <v>-6.9333056521754907E-2</v>
      </c>
      <c r="T135" s="613">
        <f t="shared" si="94"/>
        <v>-8.1987643104893079E-2</v>
      </c>
      <c r="U135" s="613">
        <f t="shared" si="94"/>
        <v>-9.4262449127754236E-2</v>
      </c>
      <c r="V135" s="613">
        <f t="shared" si="94"/>
        <v>-0.10617431839902369</v>
      </c>
      <c r="W135" s="613">
        <f t="shared" si="94"/>
        <v>-0.11773911317591898</v>
      </c>
      <c r="X135" s="613">
        <f t="shared" ref="X135:AB135" si="95">(X128-X121)/X121</f>
        <v>-0.12897178463585329</v>
      </c>
      <c r="Y135" s="613">
        <f t="shared" si="95"/>
        <v>-0.13988643736252987</v>
      </c>
      <c r="Z135" s="613">
        <f t="shared" si="95"/>
        <v>-0.15049638843130972</v>
      </c>
      <c r="AA135" s="613">
        <f t="shared" si="95"/>
        <v>-0.1608142216142848</v>
      </c>
      <c r="AB135" s="613">
        <f t="shared" si="95"/>
        <v>-0.17085183716895513</v>
      </c>
    </row>
  </sheetData>
  <dataValidations count="2">
    <dataValidation type="list" allowBlank="1" showInputMessage="1" showErrorMessage="1" sqref="AG12" xr:uid="{D33670A0-B65C-495F-8EEF-FE96E3A35C37}">
      <formula1>"Pipeline, Schiff"</formula1>
    </dataValidation>
    <dataValidation type="list" allowBlank="1" showInputMessage="1" showErrorMessage="1" sqref="AG5" xr:uid="{650F15FE-D853-4832-A1CC-637698354B2E}">
      <formula1>"CAPEX annualisiert, CAPEX Förderung"</formula1>
    </dataValidation>
  </dataValidations>
  <pageMargins left="0.7" right="0.7" top="0.78740157499999996" bottom="0.78740157499999996" header="0.3" footer="0.3"/>
  <pageSetup paperSize="9" orientation="portrait" r:id="rId1"/>
  <drawing r:id="rId2"/>
  <extLst>
    <ext xmlns:x14="http://schemas.microsoft.com/office/spreadsheetml/2009/9/main" uri="{CCE6A557-97BC-4b89-ADB6-D9C93CAAB3DF}">
      <x14:dataValidations xmlns:xm="http://schemas.microsoft.com/office/excel/2006/main" count="8">
        <x14:dataValidation type="list" allowBlank="1" showInputMessage="1" showErrorMessage="1" xr:uid="{F61C2621-8E9F-4146-BC24-F3BCBAB21F05}">
          <x14:formula1>
            <xm:f>'Daten Markthochlauf'!$C$24:$I$24</xm:f>
          </x14:formula1>
          <xm:sqref>AJ3</xm:sqref>
        </x14:dataValidation>
        <x14:dataValidation type="list" allowBlank="1" showInputMessage="1" showErrorMessage="1" xr:uid="{852019F7-488E-4024-BB2B-9CE88A081A0E}">
          <x14:formula1>
            <xm:f>'Daten Markthochlauf'!$C$13:$I$13</xm:f>
          </x14:formula1>
          <xm:sqref>AL3</xm:sqref>
        </x14:dataValidation>
        <x14:dataValidation type="list" allowBlank="1" showInputMessage="1" showErrorMessage="1" xr:uid="{7BFAF67F-CF81-4B7F-87A6-E63057629D6D}">
          <x14:formula1>
            <xm:f>'Daten Markthochlauf'!$C$2:$I$2</xm:f>
          </x14:formula1>
          <xm:sqref>AN3</xm:sqref>
        </x14:dataValidation>
        <x14:dataValidation type="list" allowBlank="1" showInputMessage="1" showErrorMessage="1" xr:uid="{871C398D-BFA9-4034-B80B-1BD09B38DA1A}">
          <x14:formula1>
            <xm:f>'Daten Markthochlauf'!$L$3:$L$5</xm:f>
          </x14:formula1>
          <xm:sqref>AG14</xm:sqref>
        </x14:dataValidation>
        <x14:dataValidation type="list" allowBlank="1" showInputMessage="1" showErrorMessage="1" xr:uid="{C5B74474-33F9-4ED4-8AC3-F21CF20ACFD0}">
          <x14:formula1>
            <xm:f>'Daten Markthochlauf'!$L$9:$L$11</xm:f>
          </x14:formula1>
          <xm:sqref>AG11</xm:sqref>
        </x14:dataValidation>
        <x14:dataValidation type="list" allowBlank="1" showInputMessage="1" showErrorMessage="1" xr:uid="{55252425-1434-4AA5-BB4C-65E850D49405}">
          <x14:formula1>
            <xm:f>'Daten Markthochlauf'!$L$14:$L$16</xm:f>
          </x14:formula1>
          <xm:sqref>AG15</xm:sqref>
        </x14:dataValidation>
        <x14:dataValidation type="list" allowBlank="1" showInputMessage="1" showErrorMessage="1" xr:uid="{39E49D97-03F5-4897-A0BF-6255679AFC73}">
          <x14:formula1>
            <xm:f>'Daten Markthochlauf'!$L$19:$L$21</xm:f>
          </x14:formula1>
          <xm:sqref>AG17</xm:sqref>
        </x14:dataValidation>
        <x14:dataValidation type="list" allowBlank="1" showInputMessage="1" showErrorMessage="1" xr:uid="{EC094515-11A6-44B9-8B95-A93015DF3A3A}">
          <x14:formula1>
            <xm:f>'Daten Markthochlauf'!$L$25:$L$26</xm:f>
          </x14:formula1>
          <xm:sqref>AJ28</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573D79-8370-4DBD-A173-400E50015DDE}">
  <dimension ref="A2:AG33"/>
  <sheetViews>
    <sheetView topLeftCell="J12" workbookViewId="0">
      <selection activeCell="L43" sqref="L43"/>
    </sheetView>
  </sheetViews>
  <sheetFormatPr baseColWidth="10" defaultRowHeight="13.8"/>
  <cols>
    <col min="1" max="1" width="27.296875" customWidth="1"/>
    <col min="3" max="3" width="11.3984375" bestFit="1" customWidth="1"/>
    <col min="12" max="12" width="39.09765625" bestFit="1" customWidth="1"/>
    <col min="13" max="13" width="2.5" customWidth="1"/>
    <col min="14" max="33" width="6.69921875" customWidth="1"/>
  </cols>
  <sheetData>
    <row r="2" spans="1:33" ht="93">
      <c r="A2" s="611" t="s">
        <v>479</v>
      </c>
      <c r="C2" s="612" t="s">
        <v>426</v>
      </c>
      <c r="D2" s="612" t="s">
        <v>508</v>
      </c>
      <c r="E2" s="612" t="s">
        <v>493</v>
      </c>
      <c r="F2" s="612" t="s">
        <v>494</v>
      </c>
      <c r="G2" s="612" t="s">
        <v>495</v>
      </c>
      <c r="H2" s="612" t="s">
        <v>496</v>
      </c>
      <c r="I2" s="612" t="s">
        <v>497</v>
      </c>
      <c r="L2" s="572" t="s">
        <v>461</v>
      </c>
      <c r="N2" s="572">
        <v>2021</v>
      </c>
      <c r="O2" s="572">
        <v>2022</v>
      </c>
      <c r="P2" s="572">
        <v>2023</v>
      </c>
      <c r="Q2" s="572">
        <v>2024</v>
      </c>
      <c r="R2" s="572">
        <v>2025</v>
      </c>
      <c r="S2" s="572">
        <v>2026</v>
      </c>
      <c r="T2" s="572">
        <v>2027</v>
      </c>
      <c r="U2" s="572">
        <v>2028</v>
      </c>
      <c r="V2" s="572">
        <v>2029</v>
      </c>
      <c r="W2" s="572">
        <v>2030</v>
      </c>
      <c r="X2" s="572">
        <v>2031</v>
      </c>
      <c r="Y2" s="572">
        <v>2032</v>
      </c>
      <c r="Z2" s="572">
        <v>2033</v>
      </c>
      <c r="AA2" s="572">
        <v>2034</v>
      </c>
      <c r="AB2" s="572">
        <v>2035</v>
      </c>
      <c r="AC2" s="572">
        <v>2036</v>
      </c>
      <c r="AD2" s="572">
        <v>2037</v>
      </c>
      <c r="AE2" s="572">
        <v>2038</v>
      </c>
      <c r="AF2" s="572">
        <v>2039</v>
      </c>
      <c r="AG2" s="572">
        <v>2040</v>
      </c>
    </row>
    <row r="3" spans="1:33">
      <c r="A3" t="s">
        <v>50</v>
      </c>
      <c r="B3">
        <v>2</v>
      </c>
      <c r="C3" s="583">
        <v>0.67083333333333328</v>
      </c>
      <c r="D3" s="583">
        <v>0</v>
      </c>
      <c r="J3" t="s">
        <v>93</v>
      </c>
      <c r="L3" t="s">
        <v>499</v>
      </c>
      <c r="M3">
        <v>2</v>
      </c>
      <c r="N3" s="613">
        <v>0</v>
      </c>
      <c r="O3" s="613">
        <v>0</v>
      </c>
      <c r="P3" s="613">
        <v>0</v>
      </c>
      <c r="Q3" s="613">
        <v>0</v>
      </c>
      <c r="R3" s="613">
        <v>0</v>
      </c>
      <c r="S3" s="613">
        <v>0</v>
      </c>
      <c r="T3" s="613">
        <v>0</v>
      </c>
      <c r="U3" s="613">
        <v>0</v>
      </c>
      <c r="V3" s="613">
        <v>0</v>
      </c>
      <c r="W3" s="613">
        <v>0</v>
      </c>
      <c r="X3" s="613">
        <v>0</v>
      </c>
      <c r="Y3" s="613">
        <v>0</v>
      </c>
      <c r="Z3" s="613">
        <v>0</v>
      </c>
      <c r="AA3" s="613">
        <v>0</v>
      </c>
      <c r="AB3" s="613">
        <v>0</v>
      </c>
      <c r="AC3" s="613">
        <v>0</v>
      </c>
      <c r="AD3" s="613">
        <v>0</v>
      </c>
      <c r="AE3" s="613">
        <v>0</v>
      </c>
      <c r="AF3" s="613">
        <v>0</v>
      </c>
      <c r="AG3" s="613">
        <v>0</v>
      </c>
    </row>
    <row r="4" spans="1:33">
      <c r="A4" t="s">
        <v>25</v>
      </c>
      <c r="B4">
        <v>3</v>
      </c>
      <c r="C4" s="583">
        <v>7.7777777777777779E-2</v>
      </c>
      <c r="D4" s="583">
        <v>0</v>
      </c>
      <c r="J4" t="s">
        <v>95</v>
      </c>
      <c r="L4" t="s">
        <v>518</v>
      </c>
      <c r="M4">
        <v>3</v>
      </c>
      <c r="N4" s="613">
        <v>0</v>
      </c>
      <c r="O4" s="613">
        <v>0</v>
      </c>
      <c r="P4" s="613">
        <v>0</v>
      </c>
      <c r="Q4" s="613">
        <v>0</v>
      </c>
      <c r="R4" s="613">
        <v>0</v>
      </c>
      <c r="S4" s="613">
        <v>0</v>
      </c>
      <c r="T4" s="613">
        <v>0</v>
      </c>
      <c r="U4" s="613">
        <v>0</v>
      </c>
      <c r="V4" s="613">
        <v>0.2</v>
      </c>
      <c r="W4" s="613">
        <v>0.4</v>
      </c>
      <c r="X4" s="613">
        <v>0.6</v>
      </c>
      <c r="Y4" s="613">
        <v>0.8</v>
      </c>
      <c r="Z4" s="613">
        <v>1</v>
      </c>
      <c r="AA4" s="613">
        <v>1</v>
      </c>
      <c r="AB4" s="613">
        <v>1</v>
      </c>
      <c r="AC4" s="613">
        <v>1</v>
      </c>
      <c r="AD4" s="613">
        <v>1</v>
      </c>
      <c r="AE4" s="613">
        <v>1</v>
      </c>
      <c r="AF4" s="613">
        <v>1</v>
      </c>
      <c r="AG4" s="613">
        <v>1</v>
      </c>
    </row>
    <row r="5" spans="1:33">
      <c r="A5" t="s">
        <v>26</v>
      </c>
      <c r="B5">
        <v>4</v>
      </c>
      <c r="C5" s="583">
        <v>0.18472222222222223</v>
      </c>
      <c r="D5" s="583">
        <v>0</v>
      </c>
      <c r="J5" t="s">
        <v>95</v>
      </c>
      <c r="L5" t="s">
        <v>500</v>
      </c>
      <c r="M5">
        <v>4</v>
      </c>
      <c r="N5" s="613">
        <v>0</v>
      </c>
      <c r="O5" s="613">
        <v>0</v>
      </c>
      <c r="P5" s="613">
        <v>0</v>
      </c>
      <c r="Q5" s="613">
        <v>0</v>
      </c>
      <c r="R5" s="613">
        <v>0</v>
      </c>
      <c r="S5" s="613">
        <v>0.06</v>
      </c>
      <c r="T5" s="613">
        <v>0.12</v>
      </c>
      <c r="U5" s="613">
        <v>0.18</v>
      </c>
      <c r="V5" s="613">
        <v>0.24</v>
      </c>
      <c r="W5" s="613">
        <v>0.3</v>
      </c>
      <c r="X5" s="613">
        <v>0.33</v>
      </c>
      <c r="Y5" s="613">
        <v>0.36</v>
      </c>
      <c r="Z5" s="613">
        <v>0.39</v>
      </c>
      <c r="AA5" s="613">
        <v>0.42</v>
      </c>
      <c r="AB5" s="613">
        <v>0.45</v>
      </c>
      <c r="AC5" s="613">
        <v>0.48</v>
      </c>
      <c r="AD5" s="613">
        <v>0.51</v>
      </c>
      <c r="AE5" s="613">
        <v>0.54</v>
      </c>
      <c r="AF5" s="613">
        <v>0.56999999999999995</v>
      </c>
      <c r="AG5" s="613">
        <v>0.6</v>
      </c>
    </row>
    <row r="6" spans="1:33">
      <c r="A6" t="s">
        <v>27</v>
      </c>
      <c r="B6">
        <v>5</v>
      </c>
      <c r="C6" s="583">
        <v>2.4305555555555556E-2</v>
      </c>
      <c r="D6" s="583">
        <v>0</v>
      </c>
      <c r="J6" t="s">
        <v>95</v>
      </c>
    </row>
    <row r="7" spans="1:33">
      <c r="A7" t="s">
        <v>0</v>
      </c>
      <c r="B7">
        <v>6</v>
      </c>
      <c r="C7" s="583">
        <v>6.805555555555556E-3</v>
      </c>
      <c r="D7" s="583">
        <v>0</v>
      </c>
      <c r="J7" t="s">
        <v>95</v>
      </c>
    </row>
    <row r="8" spans="1:33">
      <c r="A8" t="s">
        <v>33</v>
      </c>
      <c r="B8">
        <v>7</v>
      </c>
      <c r="C8" s="583">
        <v>0</v>
      </c>
      <c r="D8" s="583">
        <f>SUM(C3:C11)</f>
        <v>0.97416666666666663</v>
      </c>
      <c r="J8" t="s">
        <v>95</v>
      </c>
      <c r="L8" s="572" t="s">
        <v>502</v>
      </c>
      <c r="N8" s="572">
        <v>2021</v>
      </c>
      <c r="O8" s="572">
        <v>2022</v>
      </c>
      <c r="P8" s="572">
        <v>2023</v>
      </c>
      <c r="Q8" s="572">
        <v>2024</v>
      </c>
      <c r="R8" s="572">
        <v>2025</v>
      </c>
      <c r="S8" s="572">
        <v>2026</v>
      </c>
      <c r="T8" s="572">
        <v>2027</v>
      </c>
      <c r="U8" s="572">
        <v>2028</v>
      </c>
      <c r="V8" s="572">
        <v>2029</v>
      </c>
      <c r="W8" s="572">
        <v>2030</v>
      </c>
      <c r="X8" s="572">
        <v>2031</v>
      </c>
      <c r="Y8" s="572">
        <v>2032</v>
      </c>
      <c r="Z8" s="572">
        <v>2033</v>
      </c>
      <c r="AA8" s="572">
        <v>2034</v>
      </c>
      <c r="AB8" s="572">
        <v>2035</v>
      </c>
      <c r="AC8" s="572">
        <v>2036</v>
      </c>
      <c r="AD8" s="572">
        <v>2037</v>
      </c>
      <c r="AE8" s="572">
        <v>2038</v>
      </c>
      <c r="AF8" s="572">
        <v>2039</v>
      </c>
      <c r="AG8" s="572">
        <v>2040</v>
      </c>
    </row>
    <row r="9" spans="1:33">
      <c r="A9" t="s">
        <v>36</v>
      </c>
      <c r="B9">
        <v>8</v>
      </c>
      <c r="C9" s="583">
        <v>0</v>
      </c>
      <c r="D9" s="583">
        <v>0</v>
      </c>
      <c r="J9" t="s">
        <v>95</v>
      </c>
      <c r="L9" t="s">
        <v>426</v>
      </c>
      <c r="M9">
        <v>2</v>
      </c>
      <c r="N9">
        <v>50</v>
      </c>
      <c r="O9">
        <v>50</v>
      </c>
      <c r="P9">
        <v>50</v>
      </c>
      <c r="Q9">
        <v>50</v>
      </c>
      <c r="R9">
        <v>50</v>
      </c>
      <c r="S9">
        <v>50</v>
      </c>
      <c r="T9">
        <v>50</v>
      </c>
      <c r="U9">
        <v>50</v>
      </c>
      <c r="V9">
        <v>50</v>
      </c>
      <c r="W9">
        <v>50</v>
      </c>
      <c r="X9">
        <v>50</v>
      </c>
      <c r="Y9">
        <v>50</v>
      </c>
      <c r="Z9">
        <v>50</v>
      </c>
      <c r="AA9">
        <v>50</v>
      </c>
      <c r="AB9">
        <v>50</v>
      </c>
      <c r="AC9">
        <v>50</v>
      </c>
      <c r="AD9">
        <v>50</v>
      </c>
      <c r="AE9">
        <v>50</v>
      </c>
      <c r="AF9">
        <v>50</v>
      </c>
      <c r="AG9">
        <v>50</v>
      </c>
    </row>
    <row r="10" spans="1:33">
      <c r="A10" t="s">
        <v>28</v>
      </c>
      <c r="B10">
        <v>9</v>
      </c>
      <c r="C10" s="583">
        <v>9.7222222222222224E-3</v>
      </c>
      <c r="D10" s="583">
        <v>0</v>
      </c>
      <c r="J10" t="s">
        <v>95</v>
      </c>
      <c r="L10" t="s">
        <v>503</v>
      </c>
      <c r="M10">
        <v>3</v>
      </c>
      <c r="N10">
        <v>30</v>
      </c>
      <c r="O10" s="609">
        <f t="shared" ref="O10:V10" si="0">$N10+($W10-$N10)/($W$8-$N$8)*(O$8-$N$8)</f>
        <v>33.666666666666664</v>
      </c>
      <c r="P10" s="609">
        <f t="shared" si="0"/>
        <v>37.333333333333336</v>
      </c>
      <c r="Q10" s="609">
        <f t="shared" si="0"/>
        <v>41</v>
      </c>
      <c r="R10" s="609">
        <f t="shared" si="0"/>
        <v>44.666666666666664</v>
      </c>
      <c r="S10" s="609">
        <f t="shared" si="0"/>
        <v>48.333333333333329</v>
      </c>
      <c r="T10" s="609">
        <f t="shared" si="0"/>
        <v>52</v>
      </c>
      <c r="U10" s="609">
        <f t="shared" si="0"/>
        <v>55.666666666666664</v>
      </c>
      <c r="V10" s="609">
        <f t="shared" si="0"/>
        <v>59.333333333333329</v>
      </c>
      <c r="W10">
        <v>63</v>
      </c>
      <c r="X10">
        <f t="shared" ref="X10:AF10" si="1">$W10+($AG10-$W10)/($AG$8-$W$8)*(X$8-$W$8)</f>
        <v>65</v>
      </c>
      <c r="Y10">
        <f t="shared" si="1"/>
        <v>67</v>
      </c>
      <c r="Z10">
        <f t="shared" si="1"/>
        <v>69</v>
      </c>
      <c r="AA10">
        <f t="shared" si="1"/>
        <v>71</v>
      </c>
      <c r="AB10">
        <f t="shared" si="1"/>
        <v>73</v>
      </c>
      <c r="AC10">
        <f t="shared" si="1"/>
        <v>75</v>
      </c>
      <c r="AD10">
        <f t="shared" si="1"/>
        <v>77</v>
      </c>
      <c r="AE10">
        <f t="shared" si="1"/>
        <v>79</v>
      </c>
      <c r="AF10">
        <f t="shared" si="1"/>
        <v>81</v>
      </c>
      <c r="AG10">
        <v>83</v>
      </c>
    </row>
    <row r="11" spans="1:33">
      <c r="A11" t="s">
        <v>1</v>
      </c>
      <c r="B11">
        <v>10</v>
      </c>
      <c r="C11" s="583">
        <v>0</v>
      </c>
      <c r="D11" s="583">
        <v>0</v>
      </c>
      <c r="J11" t="s">
        <v>95</v>
      </c>
      <c r="L11" t="s">
        <v>504</v>
      </c>
      <c r="M11">
        <v>4</v>
      </c>
      <c r="N11">
        <f>N10+20</f>
        <v>50</v>
      </c>
      <c r="O11" s="609">
        <f t="shared" ref="O11:AG11" si="2">O10+20</f>
        <v>53.666666666666664</v>
      </c>
      <c r="P11" s="609">
        <f t="shared" si="2"/>
        <v>57.333333333333336</v>
      </c>
      <c r="Q11" s="609">
        <f t="shared" si="2"/>
        <v>61</v>
      </c>
      <c r="R11" s="609">
        <f t="shared" si="2"/>
        <v>64.666666666666657</v>
      </c>
      <c r="S11" s="609">
        <f t="shared" si="2"/>
        <v>68.333333333333329</v>
      </c>
      <c r="T11" s="609">
        <f t="shared" si="2"/>
        <v>72</v>
      </c>
      <c r="U11" s="609">
        <f t="shared" si="2"/>
        <v>75.666666666666657</v>
      </c>
      <c r="V11" s="609">
        <f t="shared" si="2"/>
        <v>79.333333333333329</v>
      </c>
      <c r="W11">
        <f t="shared" si="2"/>
        <v>83</v>
      </c>
      <c r="X11">
        <f t="shared" si="2"/>
        <v>85</v>
      </c>
      <c r="Y11">
        <f t="shared" si="2"/>
        <v>87</v>
      </c>
      <c r="Z11">
        <f t="shared" si="2"/>
        <v>89</v>
      </c>
      <c r="AA11">
        <f t="shared" si="2"/>
        <v>91</v>
      </c>
      <c r="AB11">
        <f t="shared" si="2"/>
        <v>93</v>
      </c>
      <c r="AC11">
        <f t="shared" si="2"/>
        <v>95</v>
      </c>
      <c r="AD11">
        <f t="shared" si="2"/>
        <v>97</v>
      </c>
      <c r="AE11">
        <f t="shared" si="2"/>
        <v>99</v>
      </c>
      <c r="AF11">
        <f t="shared" si="2"/>
        <v>101</v>
      </c>
      <c r="AG11">
        <f t="shared" si="2"/>
        <v>103</v>
      </c>
    </row>
    <row r="12" spans="1:33">
      <c r="C12" s="583"/>
    </row>
    <row r="13" spans="1:33" ht="93">
      <c r="A13" s="611" t="s">
        <v>498</v>
      </c>
      <c r="C13" s="612" t="s">
        <v>426</v>
      </c>
      <c r="D13" s="612" t="s">
        <v>508</v>
      </c>
      <c r="E13" s="612" t="s">
        <v>493</v>
      </c>
      <c r="F13" s="612" t="s">
        <v>494</v>
      </c>
      <c r="G13" s="612" t="s">
        <v>495</v>
      </c>
      <c r="H13" s="612" t="s">
        <v>496</v>
      </c>
      <c r="I13" s="612" t="s">
        <v>497</v>
      </c>
      <c r="L13" s="572" t="s">
        <v>505</v>
      </c>
      <c r="N13" s="572">
        <v>2021</v>
      </c>
      <c r="O13" s="572">
        <v>2022</v>
      </c>
      <c r="P13" s="572">
        <v>2023</v>
      </c>
      <c r="Q13" s="572">
        <v>2024</v>
      </c>
      <c r="R13" s="572">
        <v>2025</v>
      </c>
      <c r="S13" s="572">
        <v>2026</v>
      </c>
      <c r="T13" s="572">
        <v>2027</v>
      </c>
      <c r="U13" s="572">
        <v>2028</v>
      </c>
      <c r="V13" s="572">
        <v>2029</v>
      </c>
      <c r="W13" s="572">
        <v>2030</v>
      </c>
      <c r="X13" s="572">
        <v>2031</v>
      </c>
      <c r="Y13" s="572">
        <v>2032</v>
      </c>
      <c r="Z13" s="572">
        <v>2033</v>
      </c>
      <c r="AA13" s="572">
        <v>2034</v>
      </c>
      <c r="AB13" s="572">
        <v>2035</v>
      </c>
      <c r="AC13" s="572">
        <v>2036</v>
      </c>
      <c r="AD13" s="572">
        <v>2037</v>
      </c>
      <c r="AE13" s="572">
        <v>2038</v>
      </c>
      <c r="AF13" s="572">
        <v>2039</v>
      </c>
      <c r="AG13" s="572">
        <v>2040</v>
      </c>
    </row>
    <row r="14" spans="1:33">
      <c r="A14" t="s">
        <v>50</v>
      </c>
      <c r="B14">
        <v>2</v>
      </c>
      <c r="C14" s="583">
        <v>0.67083333333333328</v>
      </c>
      <c r="D14" s="583">
        <v>0</v>
      </c>
      <c r="J14" t="s">
        <v>93</v>
      </c>
      <c r="L14" t="s">
        <v>516</v>
      </c>
      <c r="M14">
        <v>2</v>
      </c>
      <c r="N14">
        <v>50</v>
      </c>
      <c r="O14" s="609">
        <v>51.111111111111114</v>
      </c>
      <c r="P14" s="609">
        <v>52.222222222222221</v>
      </c>
      <c r="Q14" s="609">
        <v>53.333333333333336</v>
      </c>
      <c r="R14" s="609">
        <v>54.444444444444443</v>
      </c>
      <c r="S14" s="609">
        <v>55.555555555555557</v>
      </c>
      <c r="T14" s="609">
        <v>56.666666666666664</v>
      </c>
      <c r="U14" s="609">
        <v>57.777777777777779</v>
      </c>
      <c r="V14" s="609">
        <v>58.888888888888886</v>
      </c>
      <c r="W14">
        <v>60</v>
      </c>
      <c r="X14">
        <v>62</v>
      </c>
      <c r="Y14">
        <v>64</v>
      </c>
      <c r="Z14">
        <v>66</v>
      </c>
      <c r="AA14">
        <v>68</v>
      </c>
      <c r="AB14">
        <v>70</v>
      </c>
      <c r="AC14">
        <v>72</v>
      </c>
      <c r="AD14">
        <v>74</v>
      </c>
      <c r="AE14">
        <v>76</v>
      </c>
      <c r="AF14">
        <v>78</v>
      </c>
      <c r="AG14">
        <v>80</v>
      </c>
    </row>
    <row r="15" spans="1:33">
      <c r="A15" t="s">
        <v>25</v>
      </c>
      <c r="B15">
        <v>3</v>
      </c>
      <c r="C15" s="583">
        <v>7.7777777777777779E-2</v>
      </c>
      <c r="D15" s="583">
        <v>0</v>
      </c>
      <c r="J15" t="s">
        <v>95</v>
      </c>
      <c r="L15" t="s">
        <v>426</v>
      </c>
      <c r="M15">
        <v>3</v>
      </c>
      <c r="N15">
        <v>50</v>
      </c>
      <c r="O15" s="609">
        <v>52.222222222222221</v>
      </c>
      <c r="P15" s="609">
        <v>54.444444444444443</v>
      </c>
      <c r="Q15" s="609">
        <v>56.666666666666664</v>
      </c>
      <c r="R15" s="609">
        <v>58.888888888888886</v>
      </c>
      <c r="S15" s="609">
        <v>61.111111111111114</v>
      </c>
      <c r="T15" s="609">
        <v>63.333333333333336</v>
      </c>
      <c r="U15" s="609">
        <v>65.555555555555557</v>
      </c>
      <c r="V15" s="609">
        <v>67.777777777777771</v>
      </c>
      <c r="W15">
        <v>70</v>
      </c>
      <c r="X15">
        <v>72</v>
      </c>
      <c r="Y15">
        <v>74</v>
      </c>
      <c r="Z15">
        <v>76</v>
      </c>
      <c r="AA15">
        <v>78</v>
      </c>
      <c r="AB15">
        <v>80</v>
      </c>
      <c r="AC15">
        <v>82</v>
      </c>
      <c r="AD15">
        <v>84</v>
      </c>
      <c r="AE15">
        <v>86</v>
      </c>
      <c r="AF15">
        <v>88</v>
      </c>
      <c r="AG15">
        <v>90</v>
      </c>
    </row>
    <row r="16" spans="1:33">
      <c r="A16" t="s">
        <v>26</v>
      </c>
      <c r="B16">
        <v>4</v>
      </c>
      <c r="C16" s="583">
        <v>0.18472222222222223</v>
      </c>
      <c r="D16" s="583">
        <v>0</v>
      </c>
      <c r="J16" t="s">
        <v>95</v>
      </c>
      <c r="L16" t="s">
        <v>506</v>
      </c>
      <c r="M16">
        <v>4</v>
      </c>
      <c r="N16">
        <v>50</v>
      </c>
      <c r="O16">
        <v>50</v>
      </c>
      <c r="P16">
        <v>50</v>
      </c>
      <c r="Q16">
        <v>50</v>
      </c>
      <c r="R16">
        <v>50</v>
      </c>
      <c r="S16">
        <v>50</v>
      </c>
      <c r="T16">
        <v>50</v>
      </c>
      <c r="U16">
        <v>50</v>
      </c>
      <c r="V16">
        <v>50</v>
      </c>
      <c r="W16">
        <v>50</v>
      </c>
      <c r="X16">
        <v>50</v>
      </c>
      <c r="Y16">
        <v>50</v>
      </c>
      <c r="Z16">
        <v>50</v>
      </c>
      <c r="AA16">
        <v>50</v>
      </c>
      <c r="AB16">
        <v>50</v>
      </c>
      <c r="AC16">
        <v>50</v>
      </c>
      <c r="AD16">
        <v>50</v>
      </c>
      <c r="AE16">
        <v>50</v>
      </c>
      <c r="AF16">
        <v>50</v>
      </c>
      <c r="AG16">
        <v>50</v>
      </c>
    </row>
    <row r="17" spans="1:33">
      <c r="A17" t="s">
        <v>27</v>
      </c>
      <c r="B17">
        <v>5</v>
      </c>
      <c r="C17" s="583">
        <v>2.4305555555555556E-2</v>
      </c>
      <c r="D17" s="583">
        <v>0</v>
      </c>
      <c r="J17" t="s">
        <v>95</v>
      </c>
    </row>
    <row r="18" spans="1:33">
      <c r="A18" t="s">
        <v>0</v>
      </c>
      <c r="B18">
        <v>6</v>
      </c>
      <c r="C18" s="583">
        <v>6.805555555555556E-3</v>
      </c>
      <c r="D18" s="583">
        <v>0</v>
      </c>
      <c r="J18" t="s">
        <v>95</v>
      </c>
      <c r="L18" s="572" t="s">
        <v>507</v>
      </c>
      <c r="N18" s="572">
        <v>2021</v>
      </c>
      <c r="O18" s="572">
        <v>2022</v>
      </c>
      <c r="P18" s="572">
        <v>2023</v>
      </c>
      <c r="Q18" s="572">
        <v>2024</v>
      </c>
      <c r="R18" s="572">
        <v>2025</v>
      </c>
      <c r="S18" s="572">
        <v>2026</v>
      </c>
      <c r="T18" s="572">
        <v>2027</v>
      </c>
      <c r="U18" s="572">
        <v>2028</v>
      </c>
      <c r="V18" s="572">
        <v>2029</v>
      </c>
      <c r="W18" s="572">
        <v>2030</v>
      </c>
      <c r="X18" s="572">
        <v>2031</v>
      </c>
      <c r="Y18" s="572">
        <v>2032</v>
      </c>
      <c r="Z18" s="572">
        <v>2033</v>
      </c>
      <c r="AA18" s="572">
        <v>2034</v>
      </c>
      <c r="AB18" s="572">
        <v>2035</v>
      </c>
      <c r="AC18" s="572">
        <v>2036</v>
      </c>
      <c r="AD18" s="572">
        <v>2037</v>
      </c>
      <c r="AE18" s="572">
        <v>2038</v>
      </c>
      <c r="AF18" s="572">
        <v>2039</v>
      </c>
      <c r="AG18" s="572">
        <v>2040</v>
      </c>
    </row>
    <row r="19" spans="1:33">
      <c r="A19" t="s">
        <v>33</v>
      </c>
      <c r="B19">
        <v>7</v>
      </c>
      <c r="C19" s="583">
        <v>0</v>
      </c>
      <c r="D19" s="583">
        <f>SUM(C14:C22)</f>
        <v>0.97416666666666663</v>
      </c>
      <c r="J19" t="s">
        <v>95</v>
      </c>
      <c r="L19" t="s">
        <v>457</v>
      </c>
      <c r="M19">
        <v>2</v>
      </c>
      <c r="N19">
        <v>0</v>
      </c>
      <c r="O19">
        <v>0</v>
      </c>
      <c r="P19">
        <v>0</v>
      </c>
      <c r="Q19">
        <v>0</v>
      </c>
      <c r="R19">
        <v>0</v>
      </c>
      <c r="S19">
        <v>0</v>
      </c>
      <c r="T19">
        <v>0</v>
      </c>
      <c r="U19">
        <v>0</v>
      </c>
      <c r="V19">
        <v>0</v>
      </c>
      <c r="W19">
        <v>0</v>
      </c>
      <c r="X19">
        <v>0</v>
      </c>
      <c r="Y19">
        <v>0</v>
      </c>
      <c r="Z19">
        <v>0</v>
      </c>
      <c r="AA19">
        <v>0</v>
      </c>
      <c r="AB19">
        <v>0</v>
      </c>
      <c r="AC19">
        <v>0</v>
      </c>
      <c r="AD19">
        <v>0</v>
      </c>
      <c r="AE19">
        <v>0</v>
      </c>
      <c r="AF19">
        <v>0</v>
      </c>
      <c r="AG19">
        <v>0</v>
      </c>
    </row>
    <row r="20" spans="1:33">
      <c r="A20" t="s">
        <v>36</v>
      </c>
      <c r="B20">
        <v>8</v>
      </c>
      <c r="C20" s="583">
        <v>0</v>
      </c>
      <c r="D20" s="583">
        <v>0</v>
      </c>
      <c r="J20" t="s">
        <v>95</v>
      </c>
      <c r="L20" t="s">
        <v>517</v>
      </c>
      <c r="M20">
        <v>3</v>
      </c>
      <c r="N20">
        <f>N15</f>
        <v>50</v>
      </c>
      <c r="O20" s="609">
        <f t="shared" ref="O20:AG20" si="3">O15</f>
        <v>52.222222222222221</v>
      </c>
      <c r="P20" s="609">
        <f t="shared" si="3"/>
        <v>54.444444444444443</v>
      </c>
      <c r="Q20" s="609">
        <f t="shared" si="3"/>
        <v>56.666666666666664</v>
      </c>
      <c r="R20" s="609">
        <f t="shared" si="3"/>
        <v>58.888888888888886</v>
      </c>
      <c r="S20" s="609">
        <f t="shared" si="3"/>
        <v>61.111111111111114</v>
      </c>
      <c r="T20" s="609">
        <f t="shared" si="3"/>
        <v>63.333333333333336</v>
      </c>
      <c r="U20" s="609">
        <f t="shared" si="3"/>
        <v>65.555555555555557</v>
      </c>
      <c r="V20" s="609">
        <f t="shared" si="3"/>
        <v>67.777777777777771</v>
      </c>
      <c r="W20">
        <f t="shared" si="3"/>
        <v>70</v>
      </c>
      <c r="X20">
        <f t="shared" si="3"/>
        <v>72</v>
      </c>
      <c r="Y20">
        <f t="shared" si="3"/>
        <v>74</v>
      </c>
      <c r="Z20">
        <f t="shared" si="3"/>
        <v>76</v>
      </c>
      <c r="AA20">
        <f t="shared" si="3"/>
        <v>78</v>
      </c>
      <c r="AB20">
        <f t="shared" si="3"/>
        <v>80</v>
      </c>
      <c r="AC20">
        <f t="shared" si="3"/>
        <v>82</v>
      </c>
      <c r="AD20">
        <f t="shared" si="3"/>
        <v>84</v>
      </c>
      <c r="AE20">
        <f t="shared" si="3"/>
        <v>86</v>
      </c>
      <c r="AF20">
        <f t="shared" si="3"/>
        <v>88</v>
      </c>
      <c r="AG20">
        <f t="shared" si="3"/>
        <v>90</v>
      </c>
    </row>
    <row r="21" spans="1:33">
      <c r="A21" t="s">
        <v>28</v>
      </c>
      <c r="B21">
        <v>9</v>
      </c>
      <c r="C21" s="583">
        <v>9.7222222222222224E-3</v>
      </c>
      <c r="D21" s="583">
        <v>0</v>
      </c>
      <c r="J21" t="s">
        <v>95</v>
      </c>
      <c r="L21" t="s">
        <v>506</v>
      </c>
      <c r="M21">
        <v>4</v>
      </c>
      <c r="N21">
        <v>50</v>
      </c>
      <c r="O21">
        <v>50</v>
      </c>
      <c r="P21">
        <v>50</v>
      </c>
      <c r="Q21">
        <v>50</v>
      </c>
      <c r="R21">
        <v>50</v>
      </c>
      <c r="S21">
        <v>50</v>
      </c>
      <c r="T21">
        <v>50</v>
      </c>
      <c r="U21">
        <v>50</v>
      </c>
      <c r="V21">
        <v>50</v>
      </c>
      <c r="W21">
        <v>50</v>
      </c>
      <c r="X21">
        <v>50</v>
      </c>
      <c r="Y21">
        <v>50</v>
      </c>
      <c r="Z21">
        <v>50</v>
      </c>
      <c r="AA21">
        <v>50</v>
      </c>
      <c r="AB21">
        <v>50</v>
      </c>
      <c r="AC21">
        <v>50</v>
      </c>
      <c r="AD21">
        <v>50</v>
      </c>
      <c r="AE21">
        <v>50</v>
      </c>
      <c r="AF21">
        <v>50</v>
      </c>
      <c r="AG21">
        <v>50</v>
      </c>
    </row>
    <row r="22" spans="1:33">
      <c r="A22" t="s">
        <v>1</v>
      </c>
      <c r="B22">
        <v>10</v>
      </c>
      <c r="C22" s="583">
        <v>0</v>
      </c>
      <c r="D22" s="583">
        <v>0</v>
      </c>
      <c r="J22" t="s">
        <v>95</v>
      </c>
    </row>
    <row r="24" spans="1:33" ht="93">
      <c r="A24" s="572" t="s">
        <v>419</v>
      </c>
      <c r="C24" s="612" t="s">
        <v>426</v>
      </c>
      <c r="D24" s="612" t="s">
        <v>492</v>
      </c>
      <c r="E24" s="612" t="s">
        <v>493</v>
      </c>
      <c r="F24" s="612" t="s">
        <v>494</v>
      </c>
      <c r="G24" s="612" t="s">
        <v>495</v>
      </c>
      <c r="H24" s="612" t="s">
        <v>496</v>
      </c>
      <c r="I24" s="612" t="s">
        <v>497</v>
      </c>
      <c r="L24" s="628" t="s">
        <v>529</v>
      </c>
      <c r="N24" s="572">
        <v>2021</v>
      </c>
      <c r="O24" s="572">
        <v>2022</v>
      </c>
      <c r="P24" s="572">
        <v>2023</v>
      </c>
      <c r="Q24" s="572">
        <v>2024</v>
      </c>
      <c r="R24" s="572">
        <v>2025</v>
      </c>
      <c r="S24" s="572">
        <v>2026</v>
      </c>
      <c r="T24" s="572">
        <v>2027</v>
      </c>
      <c r="U24" s="572">
        <v>2028</v>
      </c>
      <c r="V24" s="572">
        <v>2029</v>
      </c>
      <c r="W24" s="572">
        <v>2030</v>
      </c>
      <c r="X24" s="572">
        <v>2031</v>
      </c>
      <c r="Y24" s="572">
        <v>2032</v>
      </c>
      <c r="Z24" s="572">
        <v>2033</v>
      </c>
      <c r="AA24" s="572">
        <v>2034</v>
      </c>
      <c r="AB24" s="572">
        <v>2035</v>
      </c>
      <c r="AC24" s="572">
        <v>2036</v>
      </c>
      <c r="AD24" s="572">
        <v>2037</v>
      </c>
      <c r="AE24" s="572">
        <v>2038</v>
      </c>
      <c r="AF24" s="572">
        <v>2039</v>
      </c>
      <c r="AG24" s="572">
        <v>2040</v>
      </c>
    </row>
    <row r="25" spans="1:33">
      <c r="A25" t="s">
        <v>50</v>
      </c>
      <c r="B25">
        <v>2</v>
      </c>
      <c r="C25" s="583">
        <v>2.2505389221556884</v>
      </c>
      <c r="J25" s="291" t="s">
        <v>12</v>
      </c>
      <c r="L25" t="s">
        <v>527</v>
      </c>
      <c r="M25">
        <v>2</v>
      </c>
      <c r="N25">
        <f>Rechner!$M$51</f>
        <v>0.66733333333333333</v>
      </c>
      <c r="O25">
        <f>Rechner!$M$51</f>
        <v>0.66733333333333333</v>
      </c>
      <c r="P25">
        <f>Rechner!$M$51</f>
        <v>0.66733333333333333</v>
      </c>
      <c r="Q25">
        <f>Rechner!$M$51</f>
        <v>0.66733333333333333</v>
      </c>
      <c r="R25">
        <f>Rechner!$M$51</f>
        <v>0.66733333333333333</v>
      </c>
      <c r="S25">
        <f>Rechner!$M$51</f>
        <v>0.66733333333333333</v>
      </c>
      <c r="T25">
        <f>Rechner!$M$51</f>
        <v>0.66733333333333333</v>
      </c>
      <c r="U25">
        <f>Rechner!$M$51</f>
        <v>0.66733333333333333</v>
      </c>
      <c r="V25">
        <f>Rechner!$M$51</f>
        <v>0.66733333333333333</v>
      </c>
      <c r="W25">
        <f>Rechner!$M$51</f>
        <v>0.66733333333333333</v>
      </c>
      <c r="X25">
        <f>Rechner!$M$51</f>
        <v>0.66733333333333333</v>
      </c>
      <c r="Y25">
        <f>Rechner!$M$51</f>
        <v>0.66733333333333333</v>
      </c>
      <c r="Z25">
        <f>Rechner!$M$51</f>
        <v>0.66733333333333333</v>
      </c>
      <c r="AA25">
        <f>Rechner!$M$51</f>
        <v>0.66733333333333333</v>
      </c>
      <c r="AB25">
        <f>Rechner!$M$51</f>
        <v>0.66733333333333333</v>
      </c>
      <c r="AC25">
        <f>Rechner!$M$51</f>
        <v>0.66733333333333333</v>
      </c>
      <c r="AD25">
        <f>Rechner!$M$51</f>
        <v>0.66733333333333333</v>
      </c>
      <c r="AE25">
        <f>Rechner!$M$51</f>
        <v>0.66733333333333333</v>
      </c>
      <c r="AF25">
        <f>Rechner!$M$51</f>
        <v>0.66733333333333333</v>
      </c>
      <c r="AG25">
        <f>Rechner!$M$51</f>
        <v>0.66733333333333333</v>
      </c>
    </row>
    <row r="26" spans="1:33">
      <c r="A26" t="s">
        <v>25</v>
      </c>
      <c r="B26">
        <v>3</v>
      </c>
      <c r="C26" s="583">
        <v>9.6480000000000015</v>
      </c>
      <c r="J26" s="291" t="s">
        <v>8</v>
      </c>
      <c r="L26" t="s">
        <v>528</v>
      </c>
      <c r="M26">
        <v>3</v>
      </c>
      <c r="N26">
        <f>N25</f>
        <v>0.66733333333333333</v>
      </c>
      <c r="O26">
        <f t="shared" ref="O26:R26" si="4">O25</f>
        <v>0.66733333333333333</v>
      </c>
      <c r="P26">
        <f t="shared" si="4"/>
        <v>0.66733333333333333</v>
      </c>
      <c r="Q26">
        <f t="shared" si="4"/>
        <v>0.66733333333333333</v>
      </c>
      <c r="R26">
        <f t="shared" si="4"/>
        <v>0.66733333333333333</v>
      </c>
      <c r="S26">
        <f>0.9*S25</f>
        <v>0.60060000000000002</v>
      </c>
      <c r="T26">
        <f>0.8*T25</f>
        <v>0.53386666666666671</v>
      </c>
      <c r="U26">
        <f>0.7*U25</f>
        <v>0.46713333333333329</v>
      </c>
      <c r="V26">
        <f>0.6*V25</f>
        <v>0.40039999999999998</v>
      </c>
      <c r="W26">
        <f>0.5*W25</f>
        <v>0.33366666666666667</v>
      </c>
      <c r="X26">
        <f>0.4*X25</f>
        <v>0.26693333333333336</v>
      </c>
      <c r="Y26">
        <f>0.3*Y25</f>
        <v>0.20019999999999999</v>
      </c>
      <c r="Z26">
        <f>0.2*Z25</f>
        <v>0.13346666666666668</v>
      </c>
      <c r="AA26">
        <f>0.1*AA25</f>
        <v>6.6733333333333339E-2</v>
      </c>
      <c r="AB26">
        <v>0</v>
      </c>
      <c r="AC26">
        <v>0</v>
      </c>
      <c r="AD26">
        <v>0</v>
      </c>
      <c r="AE26">
        <v>0</v>
      </c>
      <c r="AF26">
        <v>0</v>
      </c>
      <c r="AG26">
        <v>0</v>
      </c>
    </row>
    <row r="27" spans="1:33">
      <c r="A27" t="s">
        <v>26</v>
      </c>
      <c r="B27">
        <v>4</v>
      </c>
      <c r="C27" s="583">
        <v>6.2</v>
      </c>
      <c r="J27" s="291" t="s">
        <v>8</v>
      </c>
    </row>
    <row r="28" spans="1:33">
      <c r="A28" t="s">
        <v>27</v>
      </c>
      <c r="B28">
        <v>5</v>
      </c>
      <c r="C28" s="583">
        <v>3.6759973213431549</v>
      </c>
      <c r="J28" s="291" t="s">
        <v>8</v>
      </c>
    </row>
    <row r="29" spans="1:33">
      <c r="A29" t="s">
        <v>0</v>
      </c>
      <c r="B29">
        <v>6</v>
      </c>
      <c r="C29" s="583">
        <v>21.6</v>
      </c>
      <c r="J29" s="291" t="s">
        <v>8</v>
      </c>
      <c r="L29" s="572" t="s">
        <v>530</v>
      </c>
      <c r="N29" s="572">
        <v>2021</v>
      </c>
      <c r="O29" s="572">
        <v>2022</v>
      </c>
      <c r="P29" s="572">
        <v>2023</v>
      </c>
      <c r="Q29" s="572">
        <v>2024</v>
      </c>
      <c r="R29" s="572">
        <v>2025</v>
      </c>
      <c r="S29" s="572">
        <v>2026</v>
      </c>
      <c r="T29" s="572">
        <v>2027</v>
      </c>
      <c r="U29" s="572">
        <v>2028</v>
      </c>
      <c r="V29" s="572">
        <v>2029</v>
      </c>
      <c r="W29" s="572">
        <v>2030</v>
      </c>
      <c r="X29" s="572">
        <v>2031</v>
      </c>
      <c r="Y29" s="572">
        <v>2032</v>
      </c>
      <c r="Z29" s="572">
        <v>2033</v>
      </c>
      <c r="AA29" s="572">
        <v>2034</v>
      </c>
      <c r="AB29" s="572">
        <v>2035</v>
      </c>
      <c r="AC29" s="572">
        <v>2036</v>
      </c>
      <c r="AD29" s="572">
        <v>2037</v>
      </c>
      <c r="AE29" s="572">
        <v>2038</v>
      </c>
      <c r="AF29" s="572">
        <v>2039</v>
      </c>
      <c r="AG29" s="572">
        <v>2040</v>
      </c>
    </row>
    <row r="30" spans="1:33">
      <c r="A30" t="s">
        <v>33</v>
      </c>
      <c r="B30">
        <v>7</v>
      </c>
      <c r="C30" s="583">
        <v>24.390243902439025</v>
      </c>
      <c r="J30" s="291" t="s">
        <v>8</v>
      </c>
      <c r="L30" t="s">
        <v>527</v>
      </c>
      <c r="M30">
        <v>2</v>
      </c>
      <c r="N30">
        <f>Rechner!$X$51</f>
        <v>0.66733333333333333</v>
      </c>
      <c r="O30">
        <f>Rechner!$X$51</f>
        <v>0.66733333333333333</v>
      </c>
      <c r="P30">
        <f>Rechner!$X$51</f>
        <v>0.66733333333333333</v>
      </c>
      <c r="Q30">
        <f>Rechner!$X$51</f>
        <v>0.66733333333333333</v>
      </c>
      <c r="R30">
        <f>Rechner!$X$51</f>
        <v>0.66733333333333333</v>
      </c>
      <c r="S30">
        <f>Rechner!$X$51</f>
        <v>0.66733333333333333</v>
      </c>
      <c r="T30">
        <f>Rechner!$X$51</f>
        <v>0.66733333333333333</v>
      </c>
      <c r="U30">
        <f>Rechner!$X$51</f>
        <v>0.66733333333333333</v>
      </c>
      <c r="V30">
        <f>Rechner!$X$51</f>
        <v>0.66733333333333333</v>
      </c>
      <c r="W30">
        <f>Rechner!$X$51</f>
        <v>0.66733333333333333</v>
      </c>
      <c r="X30">
        <f>Rechner!$X$51</f>
        <v>0.66733333333333333</v>
      </c>
      <c r="Y30">
        <f>Rechner!$X$51</f>
        <v>0.66733333333333333</v>
      </c>
      <c r="Z30">
        <f>Rechner!$X$51</f>
        <v>0.66733333333333333</v>
      </c>
      <c r="AA30">
        <f>Rechner!$X$51</f>
        <v>0.66733333333333333</v>
      </c>
      <c r="AB30">
        <f>Rechner!$X$51</f>
        <v>0.66733333333333333</v>
      </c>
      <c r="AC30">
        <f>Rechner!$X$51</f>
        <v>0.66733333333333333</v>
      </c>
      <c r="AD30">
        <f>Rechner!$X$51</f>
        <v>0.66733333333333333</v>
      </c>
      <c r="AE30">
        <f>Rechner!$X$51</f>
        <v>0.66733333333333333</v>
      </c>
      <c r="AF30">
        <f>Rechner!$X$51</f>
        <v>0.66733333333333333</v>
      </c>
      <c r="AG30">
        <f>Rechner!$X$51</f>
        <v>0.66733333333333333</v>
      </c>
    </row>
    <row r="31" spans="1:33">
      <c r="A31" t="s">
        <v>36</v>
      </c>
      <c r="B31">
        <v>8</v>
      </c>
      <c r="C31" s="583">
        <v>57</v>
      </c>
      <c r="J31" s="291" t="s">
        <v>8</v>
      </c>
      <c r="L31" t="s">
        <v>528</v>
      </c>
      <c r="M31">
        <v>3</v>
      </c>
      <c r="N31">
        <f>N26</f>
        <v>0.66733333333333333</v>
      </c>
      <c r="O31">
        <f t="shared" ref="O31:AG31" si="5">O26</f>
        <v>0.66733333333333333</v>
      </c>
      <c r="P31">
        <f t="shared" si="5"/>
        <v>0.66733333333333333</v>
      </c>
      <c r="Q31">
        <f t="shared" si="5"/>
        <v>0.66733333333333333</v>
      </c>
      <c r="R31">
        <f t="shared" si="5"/>
        <v>0.66733333333333333</v>
      </c>
      <c r="S31">
        <f t="shared" si="5"/>
        <v>0.60060000000000002</v>
      </c>
      <c r="T31">
        <f t="shared" si="5"/>
        <v>0.53386666666666671</v>
      </c>
      <c r="U31">
        <f t="shared" si="5"/>
        <v>0.46713333333333329</v>
      </c>
      <c r="V31">
        <f t="shared" si="5"/>
        <v>0.40039999999999998</v>
      </c>
      <c r="W31">
        <f t="shared" si="5"/>
        <v>0.33366666666666667</v>
      </c>
      <c r="X31">
        <f t="shared" si="5"/>
        <v>0.26693333333333336</v>
      </c>
      <c r="Y31">
        <f t="shared" si="5"/>
        <v>0.20019999999999999</v>
      </c>
      <c r="Z31">
        <f t="shared" si="5"/>
        <v>0.13346666666666668</v>
      </c>
      <c r="AA31">
        <f t="shared" si="5"/>
        <v>6.6733333333333339E-2</v>
      </c>
      <c r="AB31">
        <f t="shared" si="5"/>
        <v>0</v>
      </c>
      <c r="AC31">
        <f t="shared" si="5"/>
        <v>0</v>
      </c>
      <c r="AD31">
        <f t="shared" si="5"/>
        <v>0</v>
      </c>
      <c r="AE31">
        <f t="shared" si="5"/>
        <v>0</v>
      </c>
      <c r="AF31">
        <f t="shared" si="5"/>
        <v>0</v>
      </c>
      <c r="AG31">
        <f t="shared" si="5"/>
        <v>0</v>
      </c>
    </row>
    <row r="32" spans="1:33">
      <c r="A32" t="s">
        <v>28</v>
      </c>
      <c r="B32">
        <v>9</v>
      </c>
      <c r="C32" s="583">
        <v>30.612244897959183</v>
      </c>
      <c r="J32" s="291" t="s">
        <v>8</v>
      </c>
    </row>
    <row r="33" spans="1:10">
      <c r="A33" t="s">
        <v>1</v>
      </c>
      <c r="B33">
        <v>10</v>
      </c>
      <c r="C33" s="583">
        <v>165.28925619834715</v>
      </c>
      <c r="J33" s="291" t="s">
        <v>8</v>
      </c>
    </row>
  </sheetData>
  <phoneticPr fontId="28" type="noConversion"/>
  <pageMargins left="0.7" right="0.7" top="0.78740157499999996" bottom="0.78740157499999996"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R211"/>
  <sheetViews>
    <sheetView zoomScaleNormal="100" zoomScalePageLayoutView="130" workbookViewId="0">
      <selection activeCell="F31" sqref="F31"/>
    </sheetView>
  </sheetViews>
  <sheetFormatPr baseColWidth="10" defaultColWidth="9.3984375" defaultRowHeight="13.2"/>
  <cols>
    <col min="1" max="1" width="4" style="113" customWidth="1"/>
    <col min="2" max="2" width="3.8984375" style="113" customWidth="1"/>
    <col min="3" max="3" width="39.09765625" style="113" customWidth="1"/>
    <col min="4" max="4" width="15.59765625" style="113" customWidth="1"/>
    <col min="5" max="5" width="15.8984375" style="113" customWidth="1"/>
    <col min="6" max="6" width="17.3984375" style="113" customWidth="1"/>
    <col min="7" max="7" width="83.09765625" style="154" bestFit="1" customWidth="1"/>
    <col min="8" max="8" width="3.8984375" style="113" customWidth="1"/>
    <col min="9" max="16384" width="9.3984375" style="113"/>
  </cols>
  <sheetData>
    <row r="1" spans="2:8" s="80" customFormat="1">
      <c r="G1" s="115"/>
    </row>
    <row r="2" spans="2:8">
      <c r="B2" s="114"/>
      <c r="C2" s="81"/>
      <c r="D2" s="81"/>
      <c r="E2" s="81"/>
      <c r="F2" s="81"/>
      <c r="G2" s="116"/>
      <c r="H2" s="114"/>
    </row>
    <row r="3" spans="2:8" ht="17.399999999999999">
      <c r="B3" s="142"/>
      <c r="C3" s="143" t="s">
        <v>229</v>
      </c>
      <c r="D3" s="144"/>
      <c r="E3" s="144"/>
      <c r="F3" s="144"/>
      <c r="G3" s="145"/>
      <c r="H3" s="142"/>
    </row>
    <row r="4" spans="2:8" ht="17.399999999999999">
      <c r="B4" s="142"/>
      <c r="C4" s="143"/>
      <c r="D4" s="144"/>
      <c r="E4" s="144"/>
      <c r="F4" s="144"/>
      <c r="G4" s="145"/>
      <c r="H4" s="142"/>
    </row>
    <row r="5" spans="2:8" ht="28.5" customHeight="1">
      <c r="B5" s="142"/>
      <c r="C5" s="665" t="s">
        <v>321</v>
      </c>
      <c r="D5" s="665"/>
      <c r="E5" s="665"/>
      <c r="F5" s="665"/>
      <c r="G5" s="665"/>
      <c r="H5" s="142"/>
    </row>
    <row r="6" spans="2:8" ht="14.85" customHeight="1">
      <c r="B6" s="142"/>
      <c r="C6" s="146"/>
      <c r="D6" s="144"/>
      <c r="E6" s="144"/>
      <c r="F6" s="144"/>
      <c r="G6" s="145"/>
      <c r="H6" s="142"/>
    </row>
    <row r="7" spans="2:8">
      <c r="B7" s="142"/>
      <c r="C7" s="144"/>
      <c r="D7" s="144"/>
      <c r="E7" s="144"/>
      <c r="F7" s="144"/>
      <c r="G7" s="145"/>
      <c r="H7" s="142"/>
    </row>
    <row r="8" spans="2:8">
      <c r="B8" s="142"/>
      <c r="C8" s="144"/>
      <c r="D8" s="144"/>
      <c r="E8" s="144"/>
      <c r="F8" s="144"/>
      <c r="G8" s="145"/>
      <c r="H8" s="142"/>
    </row>
    <row r="9" spans="2:8" ht="17.399999999999999">
      <c r="B9" s="142"/>
      <c r="C9" s="143" t="s">
        <v>23</v>
      </c>
      <c r="D9" s="144"/>
      <c r="E9" s="144"/>
      <c r="F9" s="144"/>
      <c r="G9" s="145"/>
      <c r="H9" s="142"/>
    </row>
    <row r="10" spans="2:8" ht="15.6">
      <c r="B10" s="142"/>
      <c r="C10" s="147"/>
      <c r="D10" s="144"/>
      <c r="E10" s="144"/>
      <c r="F10" s="144"/>
      <c r="G10" s="145"/>
      <c r="H10" s="142"/>
    </row>
    <row r="11" spans="2:8">
      <c r="B11" s="142"/>
      <c r="C11" s="144"/>
      <c r="D11" s="144"/>
      <c r="E11" s="144"/>
      <c r="F11" s="144"/>
      <c r="G11" s="145"/>
      <c r="H11" s="142"/>
    </row>
    <row r="12" spans="2:8" s="371" customFormat="1">
      <c r="B12" s="372"/>
      <c r="C12" s="193" t="s">
        <v>234</v>
      </c>
      <c r="D12" s="395" t="s">
        <v>231</v>
      </c>
      <c r="E12" s="193" t="s">
        <v>85</v>
      </c>
      <c r="F12" s="193"/>
      <c r="G12" s="396" t="s">
        <v>19</v>
      </c>
      <c r="H12" s="372"/>
    </row>
    <row r="13" spans="2:8" s="371" customFormat="1">
      <c r="B13" s="372"/>
      <c r="C13" s="397" t="s">
        <v>39</v>
      </c>
      <c r="D13" s="398"/>
      <c r="E13" s="398"/>
      <c r="F13" s="398"/>
      <c r="G13" s="399"/>
      <c r="H13" s="372"/>
    </row>
    <row r="14" spans="2:8" s="371" customFormat="1">
      <c r="B14" s="372"/>
      <c r="C14" s="215" t="s">
        <v>306</v>
      </c>
      <c r="D14" s="374">
        <v>1.6</v>
      </c>
      <c r="E14" s="374" t="s">
        <v>253</v>
      </c>
      <c r="F14" s="374"/>
      <c r="G14" s="375"/>
      <c r="H14" s="372"/>
    </row>
    <row r="15" spans="2:8" s="371" customFormat="1">
      <c r="B15" s="372"/>
      <c r="C15" s="559" t="s">
        <v>29</v>
      </c>
      <c r="D15" s="241">
        <f>D14</f>
        <v>1.6</v>
      </c>
      <c r="E15" s="388" t="s">
        <v>253</v>
      </c>
      <c r="F15" s="388"/>
      <c r="G15" s="394"/>
      <c r="H15" s="372"/>
    </row>
    <row r="16" spans="2:8" s="155" customFormat="1">
      <c r="B16" s="142"/>
      <c r="C16" s="146"/>
      <c r="D16" s="192"/>
      <c r="E16" s="142"/>
      <c r="F16" s="142"/>
      <c r="G16" s="145"/>
      <c r="H16" s="142"/>
    </row>
    <row r="17" spans="2:8" s="155" customFormat="1">
      <c r="B17" s="142"/>
      <c r="C17" s="146"/>
      <c r="D17" s="192"/>
      <c r="E17" s="142"/>
      <c r="F17" s="142"/>
      <c r="G17" s="145"/>
      <c r="H17" s="142"/>
    </row>
    <row r="18" spans="2:8" s="155" customFormat="1" ht="28.8">
      <c r="B18" s="142"/>
      <c r="C18" s="377" t="s">
        <v>233</v>
      </c>
      <c r="D18" s="240" t="s">
        <v>237</v>
      </c>
      <c r="E18" s="240" t="s">
        <v>577</v>
      </c>
      <c r="F18" s="240" t="s">
        <v>578</v>
      </c>
      <c r="G18" s="243" t="s">
        <v>579</v>
      </c>
      <c r="H18" s="142"/>
    </row>
    <row r="19" spans="2:8" s="155" customFormat="1">
      <c r="B19" s="142"/>
      <c r="C19" s="239" t="s">
        <v>34</v>
      </c>
      <c r="D19" s="213"/>
      <c r="E19" s="213"/>
      <c r="F19" s="213"/>
      <c r="G19" s="235"/>
      <c r="H19" s="142"/>
    </row>
    <row r="20" spans="2:8" s="155" customFormat="1">
      <c r="B20" s="142"/>
      <c r="C20" s="215" t="s">
        <v>157</v>
      </c>
      <c r="D20" s="335"/>
      <c r="E20" s="360">
        <v>50</v>
      </c>
      <c r="F20" s="360">
        <v>25.5</v>
      </c>
      <c r="G20" s="375" t="s">
        <v>362</v>
      </c>
      <c r="H20" s="142"/>
    </row>
    <row r="21" spans="2:8" s="155" customFormat="1" ht="26.4">
      <c r="B21" s="142"/>
      <c r="C21" s="555" t="s">
        <v>29</v>
      </c>
      <c r="D21" s="361">
        <f>0.693*3.5</f>
        <v>2.4255</v>
      </c>
      <c r="E21" s="339">
        <f>E20</f>
        <v>50</v>
      </c>
      <c r="F21" s="339">
        <f>F20</f>
        <v>25.5</v>
      </c>
      <c r="G21" s="375" t="s">
        <v>580</v>
      </c>
      <c r="H21" s="142"/>
    </row>
    <row r="22" spans="2:8" s="155" customFormat="1">
      <c r="B22" s="142"/>
      <c r="C22" s="193" t="s">
        <v>25</v>
      </c>
      <c r="D22" s="330"/>
      <c r="E22" s="331"/>
      <c r="F22" s="331"/>
      <c r="G22" s="145"/>
      <c r="H22" s="142"/>
    </row>
    <row r="23" spans="2:8" s="155" customFormat="1">
      <c r="B23" s="142"/>
      <c r="C23" s="513" t="s">
        <v>138</v>
      </c>
      <c r="D23" s="362"/>
      <c r="E23" s="363">
        <v>93</v>
      </c>
      <c r="F23" s="309"/>
      <c r="G23" s="145"/>
      <c r="H23" s="142"/>
    </row>
    <row r="24" spans="2:8" s="155" customFormat="1">
      <c r="B24" s="142"/>
      <c r="C24" s="513" t="s">
        <v>141</v>
      </c>
      <c r="D24" s="362"/>
      <c r="E24" s="363">
        <v>93.1</v>
      </c>
      <c r="F24" s="309"/>
      <c r="G24" s="145"/>
      <c r="H24" s="142"/>
    </row>
    <row r="25" spans="2:8" s="155" customFormat="1">
      <c r="B25" s="142"/>
      <c r="C25" s="556" t="s">
        <v>29</v>
      </c>
      <c r="D25" s="330">
        <f>0.076*3.5</f>
        <v>0.26600000000000001</v>
      </c>
      <c r="E25" s="363">
        <f>E23</f>
        <v>93</v>
      </c>
      <c r="F25" s="309">
        <v>0</v>
      </c>
      <c r="G25" s="145" t="s">
        <v>581</v>
      </c>
      <c r="H25" s="142"/>
    </row>
    <row r="26" spans="2:8" s="155" customFormat="1">
      <c r="B26" s="142"/>
      <c r="C26" s="239" t="s">
        <v>26</v>
      </c>
      <c r="D26" s="361"/>
      <c r="E26" s="339"/>
      <c r="F26" s="339"/>
      <c r="G26" s="235"/>
      <c r="H26" s="142"/>
    </row>
    <row r="27" spans="2:8" s="155" customFormat="1">
      <c r="B27" s="142"/>
      <c r="C27" s="215" t="s">
        <v>138</v>
      </c>
      <c r="D27" s="364"/>
      <c r="E27" s="360" t="s">
        <v>139</v>
      </c>
      <c r="F27" s="360"/>
      <c r="G27" s="235" t="s">
        <v>140</v>
      </c>
      <c r="H27" s="142"/>
    </row>
    <row r="28" spans="2:8" s="155" customFormat="1">
      <c r="B28" s="142"/>
      <c r="C28" s="215" t="s">
        <v>141</v>
      </c>
      <c r="D28" s="364"/>
      <c r="E28" s="360">
        <v>106.4</v>
      </c>
      <c r="F28" s="360"/>
      <c r="G28" s="235"/>
      <c r="H28" s="142"/>
    </row>
    <row r="29" spans="2:8" s="155" customFormat="1">
      <c r="B29" s="142"/>
      <c r="C29" s="555" t="s">
        <v>29</v>
      </c>
      <c r="D29" s="361">
        <f>0.189*3.5</f>
        <v>0.66149999999999998</v>
      </c>
      <c r="E29" s="339">
        <f>E28</f>
        <v>106.4</v>
      </c>
      <c r="F29" s="339">
        <v>0</v>
      </c>
      <c r="G29" s="235" t="s">
        <v>581</v>
      </c>
      <c r="H29" s="142"/>
    </row>
    <row r="30" spans="2:8" s="155" customFormat="1">
      <c r="B30" s="142"/>
      <c r="C30" s="193" t="s">
        <v>27</v>
      </c>
      <c r="D30" s="330"/>
      <c r="E30" s="331"/>
      <c r="F30" s="331"/>
      <c r="G30" s="145"/>
      <c r="H30" s="142"/>
    </row>
    <row r="31" spans="2:8" s="155" customFormat="1">
      <c r="B31" s="142"/>
      <c r="C31" s="513" t="s">
        <v>141</v>
      </c>
      <c r="D31" s="330"/>
      <c r="E31" s="309">
        <v>104</v>
      </c>
      <c r="F31" s="309"/>
      <c r="G31" s="145"/>
      <c r="H31" s="142"/>
    </row>
    <row r="32" spans="2:8" s="155" customFormat="1">
      <c r="B32" s="142"/>
      <c r="C32" s="556" t="s">
        <v>29</v>
      </c>
      <c r="D32" s="330">
        <f>0.025*3.5</f>
        <v>8.7500000000000008E-2</v>
      </c>
      <c r="E32" s="331">
        <f>E31</f>
        <v>104</v>
      </c>
      <c r="F32" s="331">
        <f>F31</f>
        <v>0</v>
      </c>
      <c r="G32" s="145" t="s">
        <v>581</v>
      </c>
      <c r="H32" s="142"/>
    </row>
    <row r="33" spans="2:8" s="155" customFormat="1">
      <c r="B33" s="142"/>
      <c r="C33" s="239" t="s">
        <v>0</v>
      </c>
      <c r="D33" s="361"/>
      <c r="E33" s="339"/>
      <c r="F33" s="339"/>
      <c r="G33" s="235"/>
      <c r="H33" s="142"/>
    </row>
    <row r="34" spans="2:8" s="155" customFormat="1">
      <c r="B34" s="142"/>
      <c r="C34" s="215" t="s">
        <v>138</v>
      </c>
      <c r="D34" s="361"/>
      <c r="E34" s="360">
        <v>56</v>
      </c>
      <c r="F34" s="360"/>
      <c r="G34" s="235"/>
      <c r="H34" s="142"/>
    </row>
    <row r="35" spans="2:8" s="155" customFormat="1">
      <c r="B35" s="142"/>
      <c r="C35" s="215" t="s">
        <v>141</v>
      </c>
      <c r="D35" s="361"/>
      <c r="E35" s="360">
        <v>55.7</v>
      </c>
      <c r="F35" s="360"/>
      <c r="G35" s="235"/>
      <c r="H35" s="142"/>
    </row>
    <row r="36" spans="2:8" s="155" customFormat="1">
      <c r="B36" s="142"/>
      <c r="C36" s="555" t="s">
        <v>29</v>
      </c>
      <c r="D36" s="361">
        <f>0.007*3.5</f>
        <v>2.4500000000000001E-2</v>
      </c>
      <c r="E36" s="339">
        <f>E34</f>
        <v>56</v>
      </c>
      <c r="F36" s="339">
        <f>F34</f>
        <v>0</v>
      </c>
      <c r="G36" s="235" t="s">
        <v>581</v>
      </c>
      <c r="H36" s="142"/>
    </row>
    <row r="37" spans="2:8" s="155" customFormat="1">
      <c r="B37" s="142"/>
      <c r="C37" s="193" t="s">
        <v>33</v>
      </c>
      <c r="D37" s="331"/>
      <c r="E37" s="331"/>
      <c r="F37" s="331"/>
      <c r="G37" s="145"/>
      <c r="H37" s="142"/>
    </row>
    <row r="38" spans="2:8" s="155" customFormat="1">
      <c r="B38" s="142"/>
      <c r="C38" s="513" t="s">
        <v>141</v>
      </c>
      <c r="D38" s="331"/>
      <c r="E38" s="331">
        <v>0</v>
      </c>
      <c r="F38" s="309">
        <v>107.8</v>
      </c>
      <c r="G38" s="145"/>
      <c r="H38" s="142"/>
    </row>
    <row r="39" spans="2:8" s="155" customFormat="1">
      <c r="B39" s="142"/>
      <c r="C39" s="556" t="s">
        <v>29</v>
      </c>
      <c r="D39" s="331">
        <v>0</v>
      </c>
      <c r="E39" s="331">
        <f>E38</f>
        <v>0</v>
      </c>
      <c r="F39" s="331">
        <f>F38</f>
        <v>107.8</v>
      </c>
      <c r="G39" s="145" t="s">
        <v>581</v>
      </c>
      <c r="H39" s="142"/>
    </row>
    <row r="40" spans="2:8" s="155" customFormat="1">
      <c r="B40" s="142"/>
      <c r="C40" s="239" t="s">
        <v>36</v>
      </c>
      <c r="D40" s="339"/>
      <c r="E40" s="339"/>
      <c r="F40" s="339"/>
      <c r="G40" s="235"/>
      <c r="H40" s="142"/>
    </row>
    <row r="41" spans="2:8" s="155" customFormat="1">
      <c r="B41" s="142"/>
      <c r="C41" s="215" t="s">
        <v>157</v>
      </c>
      <c r="D41" s="339"/>
      <c r="E41" s="360">
        <v>0</v>
      </c>
      <c r="F41" s="360">
        <v>56</v>
      </c>
      <c r="G41" s="235" t="s">
        <v>156</v>
      </c>
      <c r="H41" s="142"/>
    </row>
    <row r="42" spans="2:8" s="155" customFormat="1">
      <c r="B42" s="142"/>
      <c r="C42" s="555" t="s">
        <v>29</v>
      </c>
      <c r="D42" s="339">
        <v>0</v>
      </c>
      <c r="E42" s="339">
        <f>E41</f>
        <v>0</v>
      </c>
      <c r="F42" s="339">
        <f>F41</f>
        <v>56</v>
      </c>
      <c r="G42" s="235" t="s">
        <v>581</v>
      </c>
      <c r="H42" s="142"/>
    </row>
    <row r="43" spans="2:8" s="155" customFormat="1">
      <c r="B43" s="142"/>
      <c r="C43" s="193" t="s">
        <v>35</v>
      </c>
      <c r="D43" s="331"/>
      <c r="E43" s="331"/>
      <c r="F43" s="331"/>
      <c r="G43" s="145"/>
      <c r="H43" s="142"/>
    </row>
    <row r="44" spans="2:8" s="155" customFormat="1">
      <c r="B44" s="142"/>
      <c r="C44" s="513" t="s">
        <v>141</v>
      </c>
      <c r="D44" s="331"/>
      <c r="E44" s="331">
        <v>0</v>
      </c>
      <c r="F44" s="309">
        <v>90.6</v>
      </c>
      <c r="G44" s="145"/>
      <c r="H44" s="142"/>
    </row>
    <row r="45" spans="2:8" s="155" customFormat="1">
      <c r="B45" s="142"/>
      <c r="C45" s="556" t="s">
        <v>29</v>
      </c>
      <c r="D45" s="331">
        <v>0</v>
      </c>
      <c r="E45" s="331">
        <f>E44</f>
        <v>0</v>
      </c>
      <c r="F45" s="331">
        <f>F44</f>
        <v>90.6</v>
      </c>
      <c r="G45" s="145" t="s">
        <v>581</v>
      </c>
      <c r="H45" s="142"/>
    </row>
    <row r="46" spans="2:8" s="155" customFormat="1" ht="13.5" customHeight="1">
      <c r="B46" s="142"/>
      <c r="C46" s="239" t="s">
        <v>28</v>
      </c>
      <c r="D46" s="339"/>
      <c r="E46" s="339"/>
      <c r="F46" s="339"/>
      <c r="G46" s="235"/>
      <c r="H46" s="142"/>
    </row>
    <row r="47" spans="2:8" s="155" customFormat="1" ht="13.5" customHeight="1">
      <c r="B47" s="142"/>
      <c r="C47" s="215" t="s">
        <v>141</v>
      </c>
      <c r="D47" s="339"/>
      <c r="E47" s="360">
        <v>74</v>
      </c>
      <c r="F47" s="360"/>
      <c r="G47" s="235"/>
      <c r="H47" s="142"/>
    </row>
    <row r="48" spans="2:8" s="155" customFormat="1" ht="13.5" customHeight="1">
      <c r="B48" s="142"/>
      <c r="C48" s="215" t="s">
        <v>138</v>
      </c>
      <c r="D48" s="339"/>
      <c r="E48" s="360">
        <v>74</v>
      </c>
      <c r="F48" s="360"/>
      <c r="G48" s="235"/>
      <c r="H48" s="142"/>
    </row>
    <row r="49" spans="2:8" s="155" customFormat="1" ht="13.5" customHeight="1">
      <c r="B49" s="142"/>
      <c r="C49" s="555" t="s">
        <v>29</v>
      </c>
      <c r="D49" s="361">
        <f>0.009*3.5</f>
        <v>3.15E-2</v>
      </c>
      <c r="E49" s="339">
        <f>E48</f>
        <v>74</v>
      </c>
      <c r="F49" s="360">
        <f>F48</f>
        <v>0</v>
      </c>
      <c r="G49" s="235" t="s">
        <v>581</v>
      </c>
      <c r="H49" s="142"/>
    </row>
    <row r="50" spans="2:8" s="155" customFormat="1" ht="13.5" customHeight="1">
      <c r="B50" s="142"/>
      <c r="C50" s="193" t="s">
        <v>1</v>
      </c>
      <c r="D50" s="331"/>
      <c r="E50" s="331"/>
      <c r="F50" s="331"/>
      <c r="G50" s="145"/>
      <c r="H50" s="142"/>
    </row>
    <row r="51" spans="2:8" s="155" customFormat="1">
      <c r="B51" s="142"/>
      <c r="C51" s="557" t="s">
        <v>157</v>
      </c>
      <c r="D51" s="331"/>
      <c r="E51" s="309">
        <v>0</v>
      </c>
      <c r="F51" s="309">
        <v>0</v>
      </c>
      <c r="G51" s="145"/>
      <c r="H51" s="142"/>
    </row>
    <row r="52" spans="2:8" s="155" customFormat="1">
      <c r="B52" s="142"/>
      <c r="C52" s="556" t="s">
        <v>29</v>
      </c>
      <c r="D52" s="331">
        <v>0</v>
      </c>
      <c r="E52" s="331">
        <f>E51</f>
        <v>0</v>
      </c>
      <c r="F52" s="331">
        <f>F51</f>
        <v>0</v>
      </c>
      <c r="G52" s="145" t="s">
        <v>581</v>
      </c>
      <c r="H52" s="142"/>
    </row>
    <row r="53" spans="2:8" s="155" customFormat="1">
      <c r="B53" s="142"/>
      <c r="C53" s="239" t="s">
        <v>52</v>
      </c>
      <c r="D53" s="361">
        <f>D21+D25+D29+D32+D36+D39+D42+D45+D49+D52</f>
        <v>3.4964999999999997</v>
      </c>
      <c r="E53" s="339"/>
      <c r="F53" s="339"/>
      <c r="G53" s="235" t="s">
        <v>71</v>
      </c>
      <c r="H53" s="142"/>
    </row>
    <row r="54" spans="2:8" s="155" customFormat="1">
      <c r="B54" s="142"/>
      <c r="C54" s="215" t="s">
        <v>166</v>
      </c>
      <c r="D54" s="364">
        <v>3.8</v>
      </c>
      <c r="E54" s="339"/>
      <c r="F54" s="339"/>
      <c r="G54" s="235" t="s">
        <v>216</v>
      </c>
      <c r="H54" s="142"/>
    </row>
    <row r="55" spans="2:8">
      <c r="B55" s="142"/>
      <c r="C55" s="558" t="s">
        <v>132</v>
      </c>
      <c r="D55" s="301">
        <v>3.28</v>
      </c>
      <c r="E55" s="301"/>
      <c r="F55" s="301"/>
      <c r="G55" s="242" t="s">
        <v>255</v>
      </c>
      <c r="H55" s="142"/>
    </row>
    <row r="56" spans="2:8">
      <c r="B56" s="142"/>
      <c r="C56" s="81"/>
      <c r="D56" s="114"/>
      <c r="E56" s="114"/>
      <c r="F56" s="114"/>
      <c r="G56" s="116"/>
      <c r="H56" s="142"/>
    </row>
    <row r="57" spans="2:8" s="155" customFormat="1">
      <c r="B57" s="142"/>
      <c r="C57" s="144"/>
      <c r="D57" s="142"/>
      <c r="E57" s="142"/>
      <c r="F57" s="142"/>
      <c r="G57" s="145"/>
      <c r="H57" s="142"/>
    </row>
    <row r="58" spans="2:8" s="371" customFormat="1">
      <c r="B58" s="372"/>
      <c r="C58" s="377" t="s">
        <v>147</v>
      </c>
      <c r="D58" s="368" t="s">
        <v>231</v>
      </c>
      <c r="E58" s="377" t="s">
        <v>85</v>
      </c>
      <c r="F58" s="377"/>
      <c r="G58" s="453" t="s">
        <v>19</v>
      </c>
      <c r="H58" s="372"/>
    </row>
    <row r="59" spans="2:8" s="371" customFormat="1">
      <c r="B59" s="372"/>
      <c r="C59" s="239" t="s">
        <v>41</v>
      </c>
      <c r="D59" s="374"/>
      <c r="E59" s="374"/>
      <c r="F59" s="239"/>
      <c r="G59" s="375"/>
      <c r="H59" s="372"/>
    </row>
    <row r="60" spans="2:8" s="371" customFormat="1" ht="26.4">
      <c r="B60" s="372"/>
      <c r="C60" s="215" t="s">
        <v>166</v>
      </c>
      <c r="D60" s="336">
        <f>110*(1-0.46)/0.72+5</f>
        <v>87.500000000000014</v>
      </c>
      <c r="E60" s="374" t="s">
        <v>68</v>
      </c>
      <c r="F60" s="461"/>
      <c r="G60" s="375" t="s">
        <v>338</v>
      </c>
      <c r="H60" s="372"/>
    </row>
    <row r="61" spans="2:8" s="371" customFormat="1" ht="26.4">
      <c r="B61" s="372"/>
      <c r="C61" s="215" t="s">
        <v>131</v>
      </c>
      <c r="D61" s="336">
        <v>70</v>
      </c>
      <c r="E61" s="374" t="s">
        <v>68</v>
      </c>
      <c r="F61" s="239"/>
      <c r="G61" s="375" t="s">
        <v>339</v>
      </c>
      <c r="H61" s="372"/>
    </row>
    <row r="62" spans="2:8" s="371" customFormat="1">
      <c r="B62" s="372"/>
      <c r="C62" s="555" t="s">
        <v>29</v>
      </c>
      <c r="D62" s="389">
        <f>D60</f>
        <v>87.500000000000014</v>
      </c>
      <c r="E62" s="239" t="s">
        <v>68</v>
      </c>
      <c r="F62" s="239"/>
      <c r="G62" s="375"/>
      <c r="H62" s="372"/>
    </row>
    <row r="63" spans="2:8" s="371" customFormat="1" ht="26.4">
      <c r="B63" s="372"/>
      <c r="C63" s="318" t="s">
        <v>220</v>
      </c>
      <c r="D63" s="372"/>
      <c r="E63" s="372"/>
      <c r="F63" s="193"/>
      <c r="G63" s="372"/>
      <c r="H63" s="372"/>
    </row>
    <row r="64" spans="2:8" s="371" customFormat="1">
      <c r="B64" s="372"/>
      <c r="C64" s="513" t="s">
        <v>309</v>
      </c>
      <c r="D64" s="392" t="s">
        <v>67</v>
      </c>
      <c r="E64" s="372" t="s">
        <v>68</v>
      </c>
      <c r="F64" s="372"/>
      <c r="G64" s="391" t="s">
        <v>340</v>
      </c>
      <c r="H64" s="372"/>
    </row>
    <row r="65" spans="2:8" s="371" customFormat="1">
      <c r="B65" s="372"/>
      <c r="C65" s="513" t="s">
        <v>285</v>
      </c>
      <c r="D65" s="392" t="s">
        <v>69</v>
      </c>
      <c r="E65" s="372" t="s">
        <v>68</v>
      </c>
      <c r="F65" s="372"/>
      <c r="G65" s="391" t="s">
        <v>341</v>
      </c>
      <c r="H65" s="372"/>
    </row>
    <row r="66" spans="2:8" s="371" customFormat="1" ht="26.4">
      <c r="B66" s="372"/>
      <c r="C66" s="556" t="s">
        <v>29</v>
      </c>
      <c r="D66" s="390">
        <v>0</v>
      </c>
      <c r="E66" s="193" t="s">
        <v>68</v>
      </c>
      <c r="F66" s="372"/>
      <c r="G66" s="391" t="s">
        <v>73</v>
      </c>
      <c r="H66" s="372"/>
    </row>
    <row r="67" spans="2:8" s="371" customFormat="1">
      <c r="B67" s="372"/>
      <c r="C67" s="241" t="s">
        <v>47</v>
      </c>
      <c r="D67" s="393">
        <f>D62-D66</f>
        <v>87.500000000000014</v>
      </c>
      <c r="E67" s="241" t="s">
        <v>68</v>
      </c>
      <c r="F67" s="241"/>
      <c r="G67" s="394"/>
      <c r="H67" s="372"/>
    </row>
    <row r="68" spans="2:8">
      <c r="B68" s="114"/>
      <c r="C68" s="358"/>
      <c r="D68" s="338"/>
      <c r="E68" s="358"/>
      <c r="F68" s="192"/>
      <c r="G68" s="145"/>
      <c r="H68" s="114"/>
    </row>
    <row r="69" spans="2:8">
      <c r="B69" s="114"/>
      <c r="C69" s="358"/>
      <c r="D69" s="338"/>
      <c r="E69" s="358"/>
      <c r="F69" s="192"/>
      <c r="G69" s="145"/>
      <c r="H69" s="114"/>
    </row>
    <row r="70" spans="2:8" s="365" customFormat="1" ht="15.6">
      <c r="B70" s="366"/>
      <c r="C70" s="377" t="s">
        <v>582</v>
      </c>
      <c r="D70" s="368" t="s">
        <v>231</v>
      </c>
      <c r="E70" s="378" t="s">
        <v>85</v>
      </c>
      <c r="F70" s="377"/>
      <c r="G70" s="369" t="s">
        <v>19</v>
      </c>
      <c r="H70" s="366"/>
    </row>
    <row r="71" spans="2:8" s="365" customFormat="1" ht="15.6">
      <c r="B71" s="366"/>
      <c r="C71" s="239" t="s">
        <v>589</v>
      </c>
      <c r="D71" s="381"/>
      <c r="E71" s="381"/>
      <c r="F71" s="381"/>
      <c r="G71" s="381"/>
      <c r="H71" s="366"/>
    </row>
    <row r="72" spans="2:8" s="365" customFormat="1" ht="15.6">
      <c r="B72" s="366"/>
      <c r="C72" s="560" t="s">
        <v>386</v>
      </c>
      <c r="D72" s="382">
        <v>528</v>
      </c>
      <c r="E72" s="381" t="s">
        <v>583</v>
      </c>
      <c r="F72" s="381"/>
      <c r="G72" s="376"/>
      <c r="H72" s="366"/>
    </row>
    <row r="73" spans="2:8" s="365" customFormat="1" ht="28.8">
      <c r="B73" s="366"/>
      <c r="C73" s="560" t="s">
        <v>166</v>
      </c>
      <c r="D73" s="455">
        <f>441*1000*1000/(816*1000)</f>
        <v>540.44117647058829</v>
      </c>
      <c r="E73" s="381" t="s">
        <v>583</v>
      </c>
      <c r="F73" s="381"/>
      <c r="G73" s="376" t="s">
        <v>585</v>
      </c>
      <c r="H73" s="366"/>
    </row>
    <row r="74" spans="2:8" s="365" customFormat="1" ht="15.6">
      <c r="B74" s="366"/>
      <c r="C74" s="215" t="s">
        <v>131</v>
      </c>
      <c r="D74" s="382">
        <v>536</v>
      </c>
      <c r="E74" s="381" t="s">
        <v>583</v>
      </c>
      <c r="F74" s="381"/>
      <c r="G74" s="376"/>
      <c r="H74" s="366"/>
    </row>
    <row r="75" spans="2:8" s="365" customFormat="1" ht="15.6">
      <c r="B75" s="366"/>
      <c r="C75" s="555" t="s">
        <v>29</v>
      </c>
      <c r="D75" s="379">
        <f>D74</f>
        <v>536</v>
      </c>
      <c r="E75" s="380" t="s">
        <v>584</v>
      </c>
      <c r="F75" s="381"/>
      <c r="G75" s="376" t="s">
        <v>202</v>
      </c>
      <c r="H75" s="366"/>
    </row>
    <row r="76" spans="2:8" s="365" customFormat="1" ht="15.6">
      <c r="B76" s="366"/>
      <c r="C76" s="193" t="s">
        <v>588</v>
      </c>
      <c r="D76" s="366"/>
      <c r="E76" s="366"/>
      <c r="F76" s="366"/>
      <c r="G76" s="366"/>
      <c r="H76" s="366"/>
    </row>
    <row r="77" spans="2:8" s="365" customFormat="1" ht="15.6">
      <c r="B77" s="366"/>
      <c r="C77" s="513" t="s">
        <v>361</v>
      </c>
      <c r="D77" s="385">
        <v>352</v>
      </c>
      <c r="E77" s="366" t="s">
        <v>583</v>
      </c>
      <c r="F77" s="366"/>
      <c r="G77" s="386" t="s">
        <v>64</v>
      </c>
      <c r="H77" s="366"/>
    </row>
    <row r="78" spans="2:8" s="365" customFormat="1" ht="26.4">
      <c r="B78" s="366"/>
      <c r="C78" s="513" t="s">
        <v>166</v>
      </c>
      <c r="D78" s="457">
        <f>222/816*10^3</f>
        <v>272.05882352941177</v>
      </c>
      <c r="E78" s="366" t="s">
        <v>583</v>
      </c>
      <c r="F78" s="366"/>
      <c r="G78" s="386" t="s">
        <v>367</v>
      </c>
      <c r="H78" s="366"/>
    </row>
    <row r="79" spans="2:8" s="365" customFormat="1" ht="15.6">
      <c r="B79" s="366"/>
      <c r="C79" s="513" t="s">
        <v>131</v>
      </c>
      <c r="D79" s="385">
        <v>306</v>
      </c>
      <c r="E79" s="366" t="s">
        <v>583</v>
      </c>
      <c r="F79" s="366"/>
      <c r="G79" s="194" t="s">
        <v>352</v>
      </c>
      <c r="H79" s="366"/>
    </row>
    <row r="80" spans="2:8" s="365" customFormat="1" ht="15.6">
      <c r="B80" s="366"/>
      <c r="C80" s="556" t="s">
        <v>29</v>
      </c>
      <c r="D80" s="383">
        <f>D21*E21+D25*E25+D29*E29+D32*E32+D36*E36+D39*E39+D42*E42+D45*E45+D49*E49+D52*E52</f>
        <v>229.1996</v>
      </c>
      <c r="E80" s="384" t="s">
        <v>584</v>
      </c>
      <c r="F80" s="366"/>
      <c r="G80" s="194" t="s">
        <v>586</v>
      </c>
      <c r="H80" s="366"/>
    </row>
    <row r="81" spans="1:8" s="365" customFormat="1" ht="15.6">
      <c r="B81" s="366"/>
      <c r="C81" s="212" t="s">
        <v>587</v>
      </c>
      <c r="D81" s="381"/>
      <c r="E81" s="381"/>
      <c r="F81" s="381"/>
      <c r="G81" s="381"/>
      <c r="H81" s="366"/>
    </row>
    <row r="82" spans="1:8" s="365" customFormat="1" ht="26.4">
      <c r="B82" s="366"/>
      <c r="C82" s="215" t="s">
        <v>166</v>
      </c>
      <c r="D82" s="455">
        <f>55/816*10^3</f>
        <v>67.401960784313715</v>
      </c>
      <c r="E82" s="381" t="s">
        <v>583</v>
      </c>
      <c r="F82" s="381"/>
      <c r="G82" s="376" t="s">
        <v>351</v>
      </c>
      <c r="H82" s="366"/>
    </row>
    <row r="83" spans="1:8" s="365" customFormat="1" ht="15.6">
      <c r="B83" s="366"/>
      <c r="C83" s="215" t="s">
        <v>132</v>
      </c>
      <c r="D83" s="335">
        <v>24</v>
      </c>
      <c r="E83" s="381" t="s">
        <v>583</v>
      </c>
      <c r="F83" s="374"/>
      <c r="G83" s="387" t="s">
        <v>350</v>
      </c>
      <c r="H83" s="366"/>
    </row>
    <row r="84" spans="1:8" s="365" customFormat="1" ht="15.6">
      <c r="B84" s="366"/>
      <c r="C84" s="559" t="s">
        <v>29</v>
      </c>
      <c r="D84" s="561">
        <f>D21*F21+D25*F25+D29*F29+D32*F32+D36*F36+D39*F39+D42*F42+D45*F45+D49*F49+D52*F52</f>
        <v>61.850250000000003</v>
      </c>
      <c r="E84" s="641" t="s">
        <v>583</v>
      </c>
      <c r="F84" s="559"/>
      <c r="G84" s="237" t="s">
        <v>30</v>
      </c>
      <c r="H84" s="366"/>
    </row>
    <row r="85" spans="1:8">
      <c r="B85" s="114"/>
      <c r="C85" s="114"/>
      <c r="D85" s="310"/>
      <c r="E85" s="359"/>
      <c r="F85" s="114"/>
      <c r="G85" s="116"/>
      <c r="H85" s="114"/>
    </row>
    <row r="86" spans="1:8">
      <c r="B86" s="114"/>
      <c r="C86" s="114"/>
      <c r="D86" s="310"/>
      <c r="E86" s="359"/>
      <c r="F86" s="114"/>
      <c r="G86" s="116"/>
      <c r="H86" s="114"/>
    </row>
    <row r="87" spans="1:8" s="365" customFormat="1">
      <c r="B87" s="366"/>
      <c r="C87" s="367" t="s">
        <v>32</v>
      </c>
      <c r="D87" s="368" t="s">
        <v>231</v>
      </c>
      <c r="E87" s="367" t="s">
        <v>85</v>
      </c>
      <c r="F87" s="367"/>
      <c r="G87" s="369" t="s">
        <v>19</v>
      </c>
      <c r="H87" s="366"/>
    </row>
    <row r="88" spans="1:8" s="365" customFormat="1">
      <c r="B88" s="366"/>
      <c r="C88" s="370" t="s">
        <v>58</v>
      </c>
      <c r="D88" s="381"/>
      <c r="E88" s="381"/>
      <c r="F88" s="381"/>
      <c r="G88" s="381"/>
      <c r="H88" s="366"/>
    </row>
    <row r="89" spans="1:8" s="365" customFormat="1">
      <c r="A89" s="371"/>
      <c r="B89" s="372"/>
      <c r="C89" s="215" t="s">
        <v>132</v>
      </c>
      <c r="D89" s="373">
        <v>196.3</v>
      </c>
      <c r="E89" s="374" t="s">
        <v>254</v>
      </c>
      <c r="F89" s="374"/>
      <c r="G89" s="375" t="s">
        <v>348</v>
      </c>
      <c r="H89" s="372"/>
    </row>
    <row r="90" spans="1:8" s="365" customFormat="1">
      <c r="A90" s="371"/>
      <c r="B90" s="372"/>
      <c r="C90" s="215" t="s">
        <v>361</v>
      </c>
      <c r="D90" s="373">
        <v>250</v>
      </c>
      <c r="E90" s="374" t="s">
        <v>254</v>
      </c>
      <c r="F90" s="374"/>
      <c r="G90" s="375" t="s">
        <v>347</v>
      </c>
      <c r="H90" s="372"/>
    </row>
    <row r="91" spans="1:8" s="365" customFormat="1" ht="26.4">
      <c r="B91" s="366"/>
      <c r="C91" s="215" t="s">
        <v>133</v>
      </c>
      <c r="D91" s="374">
        <v>231</v>
      </c>
      <c r="E91" s="374" t="s">
        <v>254</v>
      </c>
      <c r="F91" s="374"/>
      <c r="G91" s="375" t="s">
        <v>346</v>
      </c>
      <c r="H91" s="366"/>
    </row>
    <row r="92" spans="1:8" s="365" customFormat="1">
      <c r="B92" s="366"/>
      <c r="C92" s="215" t="s">
        <v>131</v>
      </c>
      <c r="D92" s="374">
        <v>170</v>
      </c>
      <c r="E92" s="374" t="s">
        <v>254</v>
      </c>
      <c r="F92" s="374"/>
      <c r="G92" s="376" t="s">
        <v>345</v>
      </c>
      <c r="H92" s="366"/>
    </row>
    <row r="93" spans="1:8" s="365" customFormat="1">
      <c r="B93" s="366"/>
      <c r="C93" s="555" t="s">
        <v>29</v>
      </c>
      <c r="D93" s="239">
        <f>D91</f>
        <v>231</v>
      </c>
      <c r="E93" s="239" t="s">
        <v>254</v>
      </c>
      <c r="F93" s="374"/>
      <c r="G93" s="375" t="s">
        <v>349</v>
      </c>
      <c r="H93" s="366"/>
    </row>
    <row r="94" spans="1:8" s="365" customFormat="1">
      <c r="B94" s="366"/>
      <c r="C94" s="193" t="s">
        <v>31</v>
      </c>
      <c r="D94" s="366"/>
      <c r="E94" s="366"/>
      <c r="F94" s="366"/>
      <c r="G94" s="366"/>
      <c r="H94" s="366"/>
    </row>
    <row r="95" spans="1:8" s="365" customFormat="1">
      <c r="B95" s="366"/>
      <c r="C95" s="513" t="s">
        <v>132</v>
      </c>
      <c r="D95" s="195">
        <f>14.4/0.737</f>
        <v>19.538670284938942</v>
      </c>
      <c r="E95" s="372" t="s">
        <v>94</v>
      </c>
      <c r="F95" s="164"/>
      <c r="G95" s="194" t="s">
        <v>344</v>
      </c>
      <c r="H95" s="366"/>
    </row>
    <row r="96" spans="1:8" s="365" customFormat="1">
      <c r="B96" s="366"/>
      <c r="C96" s="513" t="s">
        <v>306</v>
      </c>
      <c r="D96" s="372">
        <v>18.2</v>
      </c>
      <c r="E96" s="372" t="s">
        <v>94</v>
      </c>
      <c r="F96" s="164"/>
      <c r="G96" s="194" t="s">
        <v>343</v>
      </c>
      <c r="H96" s="366"/>
    </row>
    <row r="97" spans="2:8" s="365" customFormat="1" ht="26.4">
      <c r="B97" s="366"/>
      <c r="C97" s="513" t="s">
        <v>133</v>
      </c>
      <c r="D97" s="195">
        <f>(5.3+14.9)/0.737</f>
        <v>27.408412483039349</v>
      </c>
      <c r="E97" s="372" t="s">
        <v>94</v>
      </c>
      <c r="F97" s="164"/>
      <c r="G97" s="194" t="s">
        <v>342</v>
      </c>
      <c r="H97" s="366"/>
    </row>
    <row r="98" spans="2:8" s="365" customFormat="1">
      <c r="B98" s="366"/>
      <c r="C98" s="562" t="s">
        <v>29</v>
      </c>
      <c r="D98" s="367">
        <v>20</v>
      </c>
      <c r="E98" s="367" t="s">
        <v>94</v>
      </c>
      <c r="F98" s="191"/>
      <c r="G98" s="454" t="s">
        <v>212</v>
      </c>
      <c r="H98" s="366"/>
    </row>
    <row r="99" spans="2:8">
      <c r="B99" s="114"/>
      <c r="C99" s="192"/>
      <c r="D99" s="192"/>
      <c r="E99" s="192"/>
      <c r="F99" s="192"/>
      <c r="G99" s="190"/>
      <c r="H99" s="114"/>
    </row>
    <row r="100" spans="2:8">
      <c r="C100" s="155"/>
      <c r="D100" s="155"/>
      <c r="E100" s="155"/>
      <c r="F100" s="155"/>
      <c r="G100" s="156"/>
    </row>
    <row r="101" spans="2:8">
      <c r="C101" s="155"/>
      <c r="D101" s="155"/>
      <c r="E101" s="155"/>
      <c r="F101" s="155"/>
      <c r="G101" s="156"/>
    </row>
    <row r="102" spans="2:8">
      <c r="C102" s="196"/>
      <c r="D102" s="196"/>
      <c r="E102" s="196"/>
      <c r="F102" s="196"/>
      <c r="G102" s="156"/>
    </row>
    <row r="103" spans="2:8">
      <c r="C103" s="196"/>
      <c r="D103" s="196"/>
      <c r="E103" s="196"/>
      <c r="F103" s="196"/>
      <c r="G103" s="156"/>
    </row>
    <row r="104" spans="2:8">
      <c r="C104" s="196"/>
      <c r="D104" s="196"/>
      <c r="E104" s="196"/>
      <c r="F104" s="196"/>
      <c r="G104" s="156"/>
    </row>
    <row r="105" spans="2:8">
      <c r="C105" s="155"/>
      <c r="D105" s="155"/>
      <c r="E105" s="155"/>
      <c r="F105" s="155"/>
      <c r="G105" s="156"/>
    </row>
    <row r="106" spans="2:8">
      <c r="C106" s="155"/>
      <c r="D106" s="155"/>
      <c r="E106" s="155"/>
      <c r="F106" s="155"/>
      <c r="G106" s="156"/>
    </row>
    <row r="107" spans="2:8">
      <c r="C107" s="155"/>
      <c r="D107" s="155"/>
      <c r="E107" s="155"/>
      <c r="F107" s="155"/>
      <c r="G107" s="156"/>
    </row>
    <row r="108" spans="2:8">
      <c r="C108" s="196"/>
      <c r="D108" s="196"/>
      <c r="E108" s="196"/>
      <c r="F108" s="196"/>
      <c r="G108" s="156"/>
    </row>
    <row r="109" spans="2:8">
      <c r="C109" s="196"/>
      <c r="D109" s="196"/>
      <c r="E109" s="196"/>
      <c r="F109" s="196"/>
      <c r="G109" s="156"/>
    </row>
    <row r="110" spans="2:8">
      <c r="C110" s="196"/>
      <c r="D110" s="196"/>
      <c r="E110" s="196"/>
      <c r="F110" s="196"/>
      <c r="G110" s="197"/>
    </row>
    <row r="111" spans="2:8">
      <c r="C111" s="196"/>
      <c r="D111" s="196"/>
      <c r="E111" s="196"/>
      <c r="F111" s="196"/>
      <c r="G111" s="198"/>
    </row>
    <row r="112" spans="2:8">
      <c r="C112" s="196"/>
      <c r="D112" s="196"/>
      <c r="E112" s="196"/>
      <c r="F112" s="196"/>
      <c r="G112" s="156"/>
    </row>
    <row r="113" spans="1:9">
      <c r="C113" s="196"/>
      <c r="D113" s="196"/>
      <c r="E113" s="196"/>
      <c r="F113" s="196"/>
      <c r="G113" s="198"/>
    </row>
    <row r="114" spans="1:9">
      <c r="C114" s="155"/>
      <c r="D114" s="155"/>
      <c r="E114" s="155"/>
      <c r="F114" s="155"/>
      <c r="G114" s="174"/>
    </row>
    <row r="115" spans="1:9">
      <c r="C115" s="155"/>
      <c r="D115" s="155"/>
      <c r="E115" s="155"/>
      <c r="F115" s="155"/>
      <c r="G115" s="170"/>
    </row>
    <row r="116" spans="1:9">
      <c r="C116" s="155"/>
      <c r="D116" s="155"/>
      <c r="E116" s="155"/>
      <c r="F116" s="155"/>
      <c r="G116" s="170"/>
    </row>
    <row r="117" spans="1:9" s="155" customFormat="1">
      <c r="A117" s="113"/>
      <c r="B117" s="113"/>
      <c r="C117" s="196"/>
      <c r="D117" s="196"/>
      <c r="E117" s="196"/>
      <c r="F117" s="196"/>
      <c r="G117" s="156"/>
      <c r="H117" s="113"/>
    </row>
    <row r="118" spans="1:9" s="155" customFormat="1">
      <c r="A118" s="113"/>
      <c r="B118" s="113"/>
      <c r="G118" s="156"/>
      <c r="H118" s="113"/>
    </row>
    <row r="119" spans="1:9">
      <c r="C119" s="155"/>
      <c r="D119" s="155"/>
      <c r="E119" s="155"/>
      <c r="F119" s="155"/>
      <c r="G119" s="156"/>
    </row>
    <row r="120" spans="1:9">
      <c r="C120" s="155"/>
      <c r="D120" s="155"/>
      <c r="E120" s="155"/>
      <c r="F120" s="155"/>
      <c r="G120" s="156"/>
    </row>
    <row r="121" spans="1:9">
      <c r="C121" s="155"/>
      <c r="D121" s="155"/>
      <c r="E121" s="155"/>
      <c r="F121" s="155"/>
      <c r="G121" s="156"/>
      <c r="I121" s="155"/>
    </row>
    <row r="122" spans="1:9">
      <c r="C122" s="155"/>
      <c r="D122" s="155"/>
      <c r="E122" s="155"/>
      <c r="F122" s="155"/>
      <c r="G122" s="156"/>
      <c r="I122" s="155"/>
    </row>
    <row r="123" spans="1:9">
      <c r="C123" s="155"/>
      <c r="D123" s="155"/>
      <c r="E123" s="155"/>
      <c r="F123" s="155"/>
      <c r="G123" s="199"/>
      <c r="I123" s="155"/>
    </row>
    <row r="124" spans="1:9">
      <c r="C124" s="49"/>
      <c r="D124" s="49"/>
      <c r="E124" s="49"/>
      <c r="F124" s="49"/>
      <c r="G124" s="199"/>
      <c r="I124" s="155"/>
    </row>
    <row r="125" spans="1:9">
      <c r="C125" s="49"/>
      <c r="D125" s="49"/>
      <c r="E125" s="49"/>
      <c r="F125" s="49"/>
      <c r="G125" s="199"/>
      <c r="I125" s="155"/>
    </row>
    <row r="126" spans="1:9">
      <c r="C126" s="49"/>
      <c r="D126" s="49"/>
      <c r="E126" s="49"/>
      <c r="F126" s="49"/>
      <c r="G126" s="156"/>
    </row>
    <row r="127" spans="1:9">
      <c r="C127" s="49"/>
      <c r="D127" s="49"/>
      <c r="E127" s="49"/>
      <c r="F127" s="49"/>
      <c r="G127" s="156"/>
      <c r="I127" s="200"/>
    </row>
    <row r="128" spans="1:9">
      <c r="C128" s="155"/>
      <c r="D128" s="155"/>
      <c r="E128" s="155"/>
      <c r="F128" s="155"/>
      <c r="G128" s="199"/>
      <c r="I128" s="200"/>
    </row>
    <row r="129" spans="3:7">
      <c r="C129" s="155"/>
      <c r="D129" s="155"/>
      <c r="E129" s="155"/>
      <c r="F129" s="155"/>
      <c r="G129" s="201"/>
    </row>
    <row r="130" spans="3:7">
      <c r="C130" s="155"/>
      <c r="D130" s="155"/>
      <c r="E130" s="155"/>
      <c r="F130" s="155"/>
      <c r="G130" s="156"/>
    </row>
    <row r="131" spans="3:7">
      <c r="C131" s="236"/>
      <c r="D131" s="236"/>
      <c r="E131" s="236"/>
      <c r="F131" s="236"/>
      <c r="G131" s="156"/>
    </row>
    <row r="132" spans="3:7">
      <c r="C132" s="236"/>
      <c r="D132" s="236"/>
      <c r="E132" s="236"/>
      <c r="F132" s="236"/>
      <c r="G132" s="156"/>
    </row>
    <row r="133" spans="3:7">
      <c r="C133" s="155"/>
      <c r="D133" s="155"/>
      <c r="E133" s="155"/>
      <c r="F133" s="155"/>
      <c r="G133" s="156"/>
    </row>
    <row r="134" spans="3:7">
      <c r="C134" s="155"/>
      <c r="D134" s="155"/>
      <c r="E134" s="155"/>
      <c r="F134" s="155"/>
      <c r="G134" s="156"/>
    </row>
    <row r="135" spans="3:7">
      <c r="C135" s="49"/>
      <c r="D135" s="49"/>
      <c r="E135" s="49"/>
      <c r="F135" s="49"/>
      <c r="G135" s="156"/>
    </row>
    <row r="136" spans="3:7">
      <c r="C136" s="49"/>
      <c r="D136" s="49"/>
      <c r="E136" s="49"/>
      <c r="F136" s="49"/>
      <c r="G136" s="156"/>
    </row>
    <row r="137" spans="3:7">
      <c r="C137" s="155"/>
      <c r="D137" s="155"/>
      <c r="E137" s="155"/>
      <c r="F137" s="155"/>
      <c r="G137" s="156"/>
    </row>
    <row r="138" spans="3:7">
      <c r="C138" s="202"/>
      <c r="D138" s="202"/>
      <c r="E138" s="202"/>
      <c r="F138" s="202"/>
      <c r="G138" s="203"/>
    </row>
    <row r="139" spans="3:7">
      <c r="C139" s="180"/>
      <c r="D139" s="180"/>
      <c r="E139" s="180"/>
      <c r="F139" s="180"/>
      <c r="G139" s="203"/>
    </row>
    <row r="140" spans="3:7">
      <c r="C140" s="180"/>
      <c r="D140" s="180"/>
      <c r="E140" s="180"/>
      <c r="F140" s="180"/>
      <c r="G140" s="203"/>
    </row>
    <row r="141" spans="3:7">
      <c r="C141" s="196"/>
      <c r="D141" s="196"/>
      <c r="E141" s="196"/>
      <c r="F141" s="196"/>
      <c r="G141" s="203"/>
    </row>
    <row r="142" spans="3:7">
      <c r="C142" s="49"/>
      <c r="D142" s="49"/>
      <c r="E142" s="49"/>
      <c r="F142" s="49"/>
      <c r="G142" s="199"/>
    </row>
    <row r="143" spans="3:7">
      <c r="C143" s="196"/>
      <c r="D143" s="196"/>
      <c r="E143" s="196"/>
      <c r="F143" s="196"/>
      <c r="G143" s="199"/>
    </row>
    <row r="144" spans="3:7">
      <c r="C144" s="196"/>
      <c r="D144" s="196"/>
      <c r="E144" s="196"/>
      <c r="F144" s="196"/>
      <c r="G144" s="199"/>
    </row>
    <row r="145" spans="3:18">
      <c r="C145" s="155"/>
      <c r="D145" s="155"/>
      <c r="E145" s="155"/>
      <c r="F145" s="155"/>
      <c r="G145" s="156"/>
    </row>
    <row r="146" spans="3:18">
      <c r="C146" s="155"/>
      <c r="D146" s="155"/>
      <c r="E146" s="155"/>
      <c r="F146" s="155"/>
      <c r="G146" s="156"/>
    </row>
    <row r="147" spans="3:18">
      <c r="C147" s="155"/>
      <c r="D147" s="155"/>
      <c r="E147" s="155"/>
      <c r="F147" s="155"/>
      <c r="G147" s="156"/>
    </row>
    <row r="148" spans="3:18">
      <c r="C148" s="155"/>
      <c r="D148" s="155"/>
      <c r="E148" s="155"/>
      <c r="F148" s="155"/>
      <c r="G148" s="156"/>
      <c r="I148" s="155"/>
      <c r="J148" s="155"/>
      <c r="K148" s="155"/>
      <c r="L148" s="155"/>
      <c r="M148" s="155"/>
      <c r="N148" s="155"/>
      <c r="O148" s="155"/>
      <c r="P148" s="155"/>
      <c r="Q148" s="155"/>
      <c r="R148" s="155"/>
    </row>
    <row r="149" spans="3:18">
      <c r="C149" s="155"/>
      <c r="D149" s="155"/>
      <c r="E149" s="155"/>
      <c r="F149" s="155"/>
      <c r="G149" s="156"/>
    </row>
    <row r="150" spans="3:18">
      <c r="C150" s="155"/>
      <c r="D150" s="155"/>
      <c r="E150" s="155"/>
      <c r="F150" s="155"/>
      <c r="G150" s="156"/>
    </row>
    <row r="151" spans="3:18" ht="15.6">
      <c r="C151" s="204"/>
      <c r="D151" s="204"/>
      <c r="E151" s="204"/>
      <c r="F151" s="204"/>
      <c r="G151" s="156"/>
    </row>
    <row r="152" spans="3:18">
      <c r="C152" s="155"/>
      <c r="D152" s="155"/>
      <c r="E152" s="155"/>
      <c r="F152" s="155"/>
      <c r="G152" s="156"/>
    </row>
    <row r="153" spans="3:18">
      <c r="C153" s="236"/>
      <c r="D153" s="236"/>
      <c r="E153" s="236"/>
      <c r="F153" s="236"/>
      <c r="G153" s="156"/>
    </row>
    <row r="154" spans="3:18">
      <c r="C154" s="196"/>
      <c r="D154" s="196"/>
      <c r="E154" s="196"/>
      <c r="F154" s="196"/>
      <c r="G154" s="156"/>
    </row>
    <row r="155" spans="3:18">
      <c r="C155" s="196"/>
      <c r="D155" s="196"/>
      <c r="E155" s="196"/>
      <c r="F155" s="196"/>
      <c r="G155" s="205"/>
    </row>
    <row r="156" spans="3:18">
      <c r="C156" s="196"/>
      <c r="D156" s="196"/>
      <c r="E156" s="196"/>
      <c r="F156" s="196"/>
      <c r="G156" s="156"/>
    </row>
    <row r="157" spans="3:18">
      <c r="C157" s="196"/>
      <c r="D157" s="196"/>
      <c r="E157" s="196"/>
      <c r="F157" s="196"/>
      <c r="G157" s="156"/>
    </row>
    <row r="158" spans="3:18">
      <c r="C158" s="196"/>
      <c r="D158" s="196"/>
      <c r="E158" s="196"/>
      <c r="F158" s="196"/>
      <c r="G158" s="156"/>
    </row>
    <row r="159" spans="3:18">
      <c r="C159" s="196"/>
      <c r="D159" s="196"/>
      <c r="E159" s="196"/>
      <c r="F159" s="196"/>
      <c r="G159" s="156"/>
    </row>
    <row r="160" spans="3:18">
      <c r="C160" s="196"/>
      <c r="D160" s="196"/>
      <c r="E160" s="196"/>
      <c r="F160" s="196"/>
      <c r="G160" s="156"/>
    </row>
    <row r="161" spans="3:7">
      <c r="C161" s="196"/>
      <c r="D161" s="196"/>
      <c r="E161" s="196"/>
      <c r="F161" s="196"/>
      <c r="G161" s="156"/>
    </row>
    <row r="162" spans="3:7">
      <c r="C162" s="196"/>
      <c r="D162" s="196"/>
      <c r="E162" s="196"/>
      <c r="F162" s="196"/>
      <c r="G162" s="156"/>
    </row>
    <row r="163" spans="3:7">
      <c r="C163" s="196"/>
      <c r="D163" s="196"/>
      <c r="E163" s="196"/>
      <c r="F163" s="196"/>
      <c r="G163" s="156"/>
    </row>
    <row r="164" spans="3:7">
      <c r="C164" s="196"/>
      <c r="D164" s="196"/>
      <c r="E164" s="196"/>
      <c r="F164" s="196"/>
      <c r="G164" s="156"/>
    </row>
    <row r="165" spans="3:7">
      <c r="C165" s="196"/>
      <c r="D165" s="196"/>
      <c r="E165" s="196"/>
      <c r="F165" s="196"/>
      <c r="G165" s="156"/>
    </row>
    <row r="166" spans="3:7">
      <c r="C166" s="196"/>
      <c r="D166" s="196"/>
      <c r="E166" s="196"/>
      <c r="F166" s="196"/>
      <c r="G166" s="156"/>
    </row>
    <row r="167" spans="3:7">
      <c r="C167" s="196"/>
      <c r="D167" s="196"/>
      <c r="E167" s="196"/>
      <c r="F167" s="196"/>
      <c r="G167" s="156"/>
    </row>
    <row r="168" spans="3:7">
      <c r="C168" s="196"/>
      <c r="D168" s="196"/>
      <c r="E168" s="196"/>
      <c r="F168" s="196"/>
      <c r="G168" s="156"/>
    </row>
    <row r="169" spans="3:7">
      <c r="C169" s="196"/>
      <c r="D169" s="196"/>
      <c r="E169" s="196"/>
      <c r="F169" s="196"/>
      <c r="G169" s="156"/>
    </row>
    <row r="170" spans="3:7">
      <c r="C170" s="196"/>
      <c r="D170" s="196"/>
      <c r="E170" s="196"/>
      <c r="F170" s="196"/>
      <c r="G170" s="156"/>
    </row>
    <row r="171" spans="3:7">
      <c r="C171" s="196"/>
      <c r="D171" s="196"/>
      <c r="E171" s="196"/>
      <c r="F171" s="196"/>
      <c r="G171" s="198"/>
    </row>
    <row r="172" spans="3:7">
      <c r="C172" s="196"/>
      <c r="D172" s="196"/>
      <c r="E172" s="196"/>
      <c r="F172" s="196"/>
      <c r="G172" s="156"/>
    </row>
    <row r="173" spans="3:7">
      <c r="C173" s="196"/>
      <c r="D173" s="196"/>
      <c r="E173" s="196"/>
      <c r="F173" s="196"/>
      <c r="G173" s="156"/>
    </row>
    <row r="174" spans="3:7">
      <c r="C174" s="196"/>
      <c r="D174" s="196"/>
      <c r="E174" s="196"/>
      <c r="F174" s="196"/>
      <c r="G174" s="156"/>
    </row>
    <row r="175" spans="3:7">
      <c r="C175" s="196"/>
      <c r="D175" s="196"/>
      <c r="E175" s="196"/>
      <c r="F175" s="196"/>
      <c r="G175" s="156"/>
    </row>
    <row r="176" spans="3:7">
      <c r="C176" s="196"/>
      <c r="D176" s="196"/>
      <c r="E176" s="196"/>
      <c r="F176" s="196"/>
      <c r="G176" s="156"/>
    </row>
    <row r="177" spans="3:7">
      <c r="C177" s="155"/>
      <c r="D177" s="155"/>
      <c r="E177" s="155"/>
      <c r="F177" s="155"/>
      <c r="G177" s="156"/>
    </row>
    <row r="178" spans="3:7">
      <c r="C178" s="196"/>
      <c r="D178" s="196"/>
      <c r="E178" s="196"/>
      <c r="F178" s="196"/>
      <c r="G178" s="156"/>
    </row>
    <row r="179" spans="3:7">
      <c r="C179" s="155"/>
      <c r="D179" s="155"/>
      <c r="E179" s="155"/>
      <c r="F179" s="155"/>
      <c r="G179" s="156"/>
    </row>
    <row r="180" spans="3:7">
      <c r="C180" s="155"/>
      <c r="D180" s="155"/>
      <c r="E180" s="155"/>
      <c r="F180" s="155"/>
      <c r="G180" s="156"/>
    </row>
    <row r="181" spans="3:7">
      <c r="C181" s="155"/>
      <c r="D181" s="155"/>
      <c r="E181" s="155"/>
      <c r="F181" s="155"/>
      <c r="G181" s="156"/>
    </row>
    <row r="182" spans="3:7">
      <c r="C182" s="155"/>
      <c r="D182" s="155"/>
      <c r="E182" s="155"/>
      <c r="F182" s="155"/>
      <c r="G182" s="156"/>
    </row>
    <row r="183" spans="3:7">
      <c r="C183" s="155"/>
      <c r="D183" s="155"/>
      <c r="E183" s="155"/>
      <c r="F183" s="155"/>
      <c r="G183" s="156"/>
    </row>
    <row r="184" spans="3:7">
      <c r="C184" s="155"/>
      <c r="D184" s="155"/>
      <c r="E184" s="155"/>
      <c r="F184" s="155"/>
      <c r="G184" s="156"/>
    </row>
    <row r="185" spans="3:7">
      <c r="C185" s="155"/>
      <c r="D185" s="155"/>
      <c r="E185" s="155"/>
      <c r="F185" s="155"/>
      <c r="G185" s="156"/>
    </row>
    <row r="186" spans="3:7">
      <c r="C186" s="155"/>
      <c r="D186" s="155"/>
      <c r="E186" s="155"/>
      <c r="F186" s="155"/>
      <c r="G186" s="156"/>
    </row>
    <row r="187" spans="3:7">
      <c r="C187" s="196"/>
      <c r="D187" s="196"/>
      <c r="E187" s="196"/>
      <c r="F187" s="196"/>
      <c r="G187" s="156"/>
    </row>
    <row r="188" spans="3:7">
      <c r="C188" s="196"/>
      <c r="D188" s="196"/>
      <c r="E188" s="196"/>
      <c r="F188" s="196"/>
      <c r="G188" s="156"/>
    </row>
    <row r="189" spans="3:7">
      <c r="C189" s="196"/>
      <c r="D189" s="196"/>
      <c r="E189" s="196"/>
      <c r="F189" s="196"/>
      <c r="G189" s="156"/>
    </row>
    <row r="190" spans="3:7">
      <c r="C190" s="196"/>
      <c r="D190" s="196"/>
      <c r="E190" s="196"/>
      <c r="F190" s="196"/>
      <c r="G190" s="156"/>
    </row>
    <row r="191" spans="3:7">
      <c r="C191" s="196"/>
      <c r="D191" s="196"/>
      <c r="E191" s="196"/>
      <c r="F191" s="196"/>
      <c r="G191" s="156"/>
    </row>
    <row r="192" spans="3:7" ht="14.1" customHeight="1">
      <c r="C192" s="196"/>
      <c r="D192" s="196"/>
      <c r="E192" s="196"/>
      <c r="F192" s="196"/>
      <c r="G192" s="156"/>
    </row>
    <row r="193" spans="3:7" ht="14.1" customHeight="1">
      <c r="C193" s="196"/>
      <c r="D193" s="196"/>
      <c r="E193" s="196"/>
      <c r="F193" s="196"/>
      <c r="G193" s="156"/>
    </row>
    <row r="194" spans="3:7" ht="14.1" customHeight="1">
      <c r="C194" s="155"/>
      <c r="D194" s="155"/>
      <c r="E194" s="155"/>
      <c r="F194" s="155"/>
      <c r="G194" s="156"/>
    </row>
    <row r="195" spans="3:7" ht="14.1" customHeight="1">
      <c r="C195" s="196"/>
      <c r="D195" s="196"/>
      <c r="E195" s="196"/>
      <c r="F195" s="196"/>
      <c r="G195" s="156"/>
    </row>
    <row r="196" spans="3:7" ht="14.1" customHeight="1">
      <c r="C196" s="49"/>
      <c r="D196" s="49"/>
      <c r="E196" s="49"/>
      <c r="F196" s="49"/>
      <c r="G196" s="156"/>
    </row>
    <row r="197" spans="3:7" ht="14.1" customHeight="1">
      <c r="C197" s="49"/>
      <c r="D197" s="49"/>
      <c r="E197" s="49"/>
      <c r="F197" s="49"/>
      <c r="G197" s="198"/>
    </row>
    <row r="198" spans="3:7" ht="14.1" customHeight="1">
      <c r="C198" s="155"/>
      <c r="D198" s="155"/>
      <c r="E198" s="155"/>
      <c r="F198" s="155"/>
      <c r="G198" s="156"/>
    </row>
    <row r="199" spans="3:7" ht="14.1" customHeight="1">
      <c r="C199" s="196"/>
      <c r="D199" s="196"/>
      <c r="E199" s="196"/>
      <c r="F199" s="196"/>
      <c r="G199" s="156"/>
    </row>
    <row r="200" spans="3:7" ht="14.1" customHeight="1">
      <c r="C200" s="155"/>
      <c r="D200" s="155"/>
      <c r="E200" s="155"/>
      <c r="F200" s="155"/>
      <c r="G200" s="156"/>
    </row>
    <row r="201" spans="3:7">
      <c r="C201" s="155"/>
      <c r="D201" s="155"/>
      <c r="E201" s="155"/>
      <c r="F201" s="155"/>
      <c r="G201" s="156"/>
    </row>
    <row r="202" spans="3:7">
      <c r="C202" s="155"/>
      <c r="D202" s="155"/>
      <c r="E202" s="155"/>
      <c r="F202" s="155"/>
      <c r="G202" s="156"/>
    </row>
    <row r="203" spans="3:7">
      <c r="C203" s="196"/>
      <c r="D203" s="196"/>
      <c r="E203" s="196"/>
      <c r="F203" s="196"/>
      <c r="G203" s="156"/>
    </row>
    <row r="204" spans="3:7">
      <c r="C204" s="206"/>
      <c r="D204" s="206"/>
      <c r="E204" s="206"/>
      <c r="F204" s="206"/>
      <c r="G204" s="207"/>
    </row>
    <row r="205" spans="3:7">
      <c r="C205" s="206"/>
      <c r="D205" s="206"/>
      <c r="E205" s="206"/>
      <c r="F205" s="206"/>
      <c r="G205" s="207"/>
    </row>
    <row r="206" spans="3:7">
      <c r="C206" s="185"/>
      <c r="D206" s="185"/>
      <c r="E206" s="185"/>
      <c r="F206" s="185"/>
      <c r="G206" s="208"/>
    </row>
    <row r="207" spans="3:7">
      <c r="C207" s="185"/>
      <c r="D207" s="185"/>
      <c r="E207" s="185"/>
      <c r="F207" s="185"/>
      <c r="G207" s="209"/>
    </row>
    <row r="208" spans="3:7">
      <c r="C208" s="155"/>
      <c r="D208" s="155"/>
      <c r="E208" s="155"/>
      <c r="F208" s="155"/>
      <c r="G208" s="156"/>
    </row>
    <row r="209" spans="3:7">
      <c r="C209" s="196"/>
      <c r="D209" s="196"/>
      <c r="E209" s="196"/>
      <c r="F209" s="196"/>
      <c r="G209" s="156"/>
    </row>
    <row r="210" spans="3:7">
      <c r="C210" s="196"/>
      <c r="D210" s="196"/>
      <c r="E210" s="196"/>
      <c r="F210" s="196"/>
      <c r="G210" s="156"/>
    </row>
    <row r="211" spans="3:7">
      <c r="C211" s="155"/>
      <c r="D211" s="155"/>
      <c r="E211" s="155"/>
      <c r="F211" s="155"/>
      <c r="G211" s="156"/>
    </row>
  </sheetData>
  <sheetProtection algorithmName="SHA-512" hashValue="6s3DeF3RdI2hrSxv4ARZx87ApWeXxrcT0Sm5As0GoiityGg7FEyHYDffJHQ/f7MoGmJqhmA4xXERG/pcm6LCRA==" saltValue="x5D+SQiUzSw8K7qZO7CBgA==" spinCount="100000" sheet="1" objects="1" scenarios="1"/>
  <mergeCells count="1">
    <mergeCell ref="C5:G5"/>
  </mergeCells>
  <phoneticPr fontId="28" type="noConversion"/>
  <pageMargins left="0.7" right="0.7" top="0.75" bottom="0.75" header="0.3" footer="0.3"/>
  <pageSetup orientation="portrait" verticalDpi="601" r:id="rId1"/>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S205"/>
  <sheetViews>
    <sheetView zoomScaleNormal="100" zoomScalePageLayoutView="130" workbookViewId="0"/>
  </sheetViews>
  <sheetFormatPr baseColWidth="10" defaultColWidth="9.3984375" defaultRowHeight="13.2"/>
  <cols>
    <col min="1" max="1" width="4" style="16" customWidth="1"/>
    <col min="2" max="2" width="3.8984375" style="16" customWidth="1"/>
    <col min="3" max="3" width="34.3984375" style="135" customWidth="1"/>
    <col min="4" max="4" width="19.3984375" style="16" customWidth="1"/>
    <col min="5" max="6" width="18.8984375" style="16" customWidth="1"/>
    <col min="7" max="7" width="85.8984375" style="135" customWidth="1"/>
    <col min="8" max="8" width="3.8984375" style="16" customWidth="1"/>
    <col min="9" max="9" width="48.09765625" style="16" customWidth="1"/>
    <col min="10" max="16384" width="9.3984375" style="16"/>
  </cols>
  <sheetData>
    <row r="1" spans="1:8" s="80" customFormat="1">
      <c r="C1" s="115"/>
      <c r="G1" s="115"/>
    </row>
    <row r="2" spans="1:8" s="113" customFormat="1">
      <c r="B2" s="114"/>
      <c r="C2" s="83"/>
      <c r="D2" s="81"/>
      <c r="E2" s="81"/>
      <c r="F2" s="81"/>
      <c r="G2" s="116"/>
      <c r="H2" s="114"/>
    </row>
    <row r="3" spans="1:8" s="113" customFormat="1" ht="17.399999999999999">
      <c r="B3" s="142"/>
      <c r="C3" s="317" t="s">
        <v>229</v>
      </c>
      <c r="D3" s="144"/>
      <c r="E3" s="144"/>
      <c r="F3" s="144"/>
      <c r="G3" s="145"/>
      <c r="H3" s="142"/>
    </row>
    <row r="4" spans="1:8" s="113" customFormat="1" ht="17.399999999999999">
      <c r="B4" s="142"/>
      <c r="C4" s="317"/>
      <c r="D4" s="144"/>
      <c r="E4" s="144"/>
      <c r="F4" s="144"/>
      <c r="G4" s="145"/>
      <c r="H4" s="142"/>
    </row>
    <row r="5" spans="1:8" s="113" customFormat="1" ht="28.5" customHeight="1">
      <c r="B5" s="142"/>
      <c r="C5" s="665" t="s">
        <v>321</v>
      </c>
      <c r="D5" s="665"/>
      <c r="E5" s="665"/>
      <c r="F5" s="665"/>
      <c r="G5" s="665"/>
      <c r="H5" s="142"/>
    </row>
    <row r="6" spans="1:8" s="113" customFormat="1" ht="14.85" customHeight="1">
      <c r="B6" s="142"/>
      <c r="C6" s="318"/>
      <c r="D6" s="144"/>
      <c r="E6" s="144"/>
      <c r="F6" s="144"/>
      <c r="G6" s="145"/>
      <c r="H6" s="142"/>
    </row>
    <row r="7" spans="1:8" s="113" customFormat="1">
      <c r="B7" s="142"/>
      <c r="C7" s="158"/>
      <c r="D7" s="144"/>
      <c r="E7" s="144"/>
      <c r="F7" s="144"/>
      <c r="G7" s="145"/>
      <c r="H7" s="142"/>
    </row>
    <row r="8" spans="1:8" s="113" customFormat="1">
      <c r="B8" s="142"/>
      <c r="C8" s="158"/>
      <c r="D8" s="144"/>
      <c r="E8" s="144"/>
      <c r="F8" s="144"/>
      <c r="G8" s="145"/>
      <c r="H8" s="142"/>
    </row>
    <row r="9" spans="1:8" s="113" customFormat="1" ht="17.399999999999999">
      <c r="B9" s="142"/>
      <c r="C9" s="666" t="s">
        <v>37</v>
      </c>
      <c r="D9" s="666"/>
      <c r="E9" s="666"/>
      <c r="F9" s="144"/>
      <c r="G9" s="145"/>
      <c r="H9" s="142"/>
    </row>
    <row r="10" spans="1:8" s="113" customFormat="1" ht="17.399999999999999">
      <c r="B10" s="142"/>
      <c r="C10" s="317"/>
      <c r="D10" s="144"/>
      <c r="E10" s="144"/>
      <c r="F10" s="144"/>
      <c r="G10" s="145"/>
      <c r="H10" s="142"/>
    </row>
    <row r="11" spans="1:8" s="113" customFormat="1" ht="13.5" customHeight="1">
      <c r="B11" s="142"/>
      <c r="C11" s="317"/>
      <c r="D11" s="144"/>
      <c r="E11" s="144"/>
      <c r="F11" s="144"/>
      <c r="G11" s="145"/>
      <c r="H11" s="142"/>
    </row>
    <row r="12" spans="1:8" s="247" customFormat="1">
      <c r="A12" s="371"/>
      <c r="B12" s="372"/>
      <c r="C12" s="320" t="s">
        <v>234</v>
      </c>
      <c r="D12" s="153" t="s">
        <v>231</v>
      </c>
      <c r="E12" s="153" t="s">
        <v>85</v>
      </c>
      <c r="F12" s="88"/>
      <c r="G12" s="320" t="s">
        <v>19</v>
      </c>
      <c r="H12" s="372"/>
    </row>
    <row r="13" spans="1:8" s="247" customFormat="1">
      <c r="A13" s="371"/>
      <c r="B13" s="372"/>
      <c r="C13" s="400" t="s">
        <v>39</v>
      </c>
      <c r="D13" s="401">
        <f>'Bilanz Referenz'!D15</f>
        <v>1.6</v>
      </c>
      <c r="E13" s="401" t="s">
        <v>93</v>
      </c>
      <c r="F13" s="402"/>
      <c r="G13" s="403" t="s">
        <v>38</v>
      </c>
      <c r="H13" s="372"/>
    </row>
    <row r="14" spans="1:8" s="24" customFormat="1">
      <c r="A14" s="155"/>
      <c r="B14" s="142"/>
      <c r="C14" s="210"/>
      <c r="D14" s="76"/>
      <c r="E14" s="76"/>
      <c r="F14" s="76"/>
      <c r="G14" s="90"/>
      <c r="H14" s="142"/>
    </row>
    <row r="15" spans="1:8" s="24" customFormat="1">
      <c r="A15" s="155"/>
      <c r="B15" s="142"/>
      <c r="C15" s="210"/>
      <c r="D15" s="76"/>
      <c r="E15" s="76"/>
      <c r="F15" s="76"/>
      <c r="G15" s="90"/>
      <c r="H15" s="142"/>
    </row>
    <row r="16" spans="1:8" s="24" customFormat="1" ht="31.35" customHeight="1">
      <c r="A16" s="155"/>
      <c r="B16" s="142"/>
      <c r="C16" s="240" t="s">
        <v>233</v>
      </c>
      <c r="D16" s="262" t="s">
        <v>590</v>
      </c>
      <c r="E16" s="262" t="s">
        <v>591</v>
      </c>
      <c r="F16" s="262" t="s">
        <v>619</v>
      </c>
      <c r="G16" s="244" t="s">
        <v>579</v>
      </c>
      <c r="H16" s="142"/>
    </row>
    <row r="17" spans="1:9" s="24" customFormat="1">
      <c r="A17" s="155"/>
      <c r="B17" s="142"/>
      <c r="C17" s="210" t="s">
        <v>34</v>
      </c>
      <c r="D17" s="136">
        <f>'Bilanz Referenz'!D21</f>
        <v>2.4255</v>
      </c>
      <c r="E17" s="86">
        <f>'Bilanz Referenz'!E21</f>
        <v>50</v>
      </c>
      <c r="F17" s="137">
        <f>'Bilanz Referenz'!F21</f>
        <v>25.5</v>
      </c>
      <c r="G17" s="90" t="s">
        <v>256</v>
      </c>
      <c r="H17" s="142"/>
    </row>
    <row r="18" spans="1:9" s="24" customFormat="1">
      <c r="A18" s="155"/>
      <c r="B18" s="142"/>
      <c r="C18" s="210" t="s">
        <v>25</v>
      </c>
      <c r="D18" s="136">
        <f>'Bilanz Referenz'!D25</f>
        <v>0.26600000000000001</v>
      </c>
      <c r="E18" s="86">
        <f>'Bilanz Referenz'!E25</f>
        <v>93</v>
      </c>
      <c r="F18" s="137">
        <f>'Bilanz Referenz'!F25</f>
        <v>0</v>
      </c>
      <c r="G18" s="90" t="s">
        <v>256</v>
      </c>
      <c r="H18" s="142"/>
    </row>
    <row r="19" spans="1:9" s="24" customFormat="1">
      <c r="B19" s="76"/>
      <c r="C19" s="210" t="s">
        <v>26</v>
      </c>
      <c r="D19" s="136">
        <f>'Bilanz Referenz'!D29</f>
        <v>0.66149999999999998</v>
      </c>
      <c r="E19" s="86">
        <f>'Bilanz Referenz'!E29</f>
        <v>106.4</v>
      </c>
      <c r="F19" s="137">
        <f>'Bilanz Referenz'!F29</f>
        <v>0</v>
      </c>
      <c r="G19" s="90" t="s">
        <v>256</v>
      </c>
      <c r="H19" s="76"/>
    </row>
    <row r="20" spans="1:9" s="24" customFormat="1">
      <c r="B20" s="76"/>
      <c r="C20" s="210" t="s">
        <v>27</v>
      </c>
      <c r="D20" s="136">
        <f>'Bilanz Referenz'!D32</f>
        <v>8.7500000000000008E-2</v>
      </c>
      <c r="E20" s="137">
        <f>'Bilanz Referenz'!E32</f>
        <v>104</v>
      </c>
      <c r="F20" s="137">
        <f>'Bilanz Referenz'!F32</f>
        <v>0</v>
      </c>
      <c r="G20" s="90" t="s">
        <v>256</v>
      </c>
      <c r="H20" s="76"/>
    </row>
    <row r="21" spans="1:9" s="24" customFormat="1">
      <c r="B21" s="76"/>
      <c r="C21" s="210" t="s">
        <v>0</v>
      </c>
      <c r="D21" s="136">
        <f>'Bilanz Referenz'!D36</f>
        <v>2.4500000000000001E-2</v>
      </c>
      <c r="E21" s="86">
        <f>'Bilanz Referenz'!E36</f>
        <v>56</v>
      </c>
      <c r="F21" s="137">
        <f>'Bilanz Referenz'!F36</f>
        <v>0</v>
      </c>
      <c r="G21" s="90" t="s">
        <v>256</v>
      </c>
      <c r="H21" s="76"/>
    </row>
    <row r="22" spans="1:9" s="24" customFormat="1">
      <c r="B22" s="76"/>
      <c r="C22" s="210" t="s">
        <v>33</v>
      </c>
      <c r="D22" s="136">
        <f>'Bilanz Referenz'!D39</f>
        <v>0</v>
      </c>
      <c r="E22" s="86">
        <f>'Bilanz Referenz'!E39</f>
        <v>0</v>
      </c>
      <c r="F22" s="137">
        <f>'Bilanz Referenz'!F39</f>
        <v>107.8</v>
      </c>
      <c r="G22" s="90" t="s">
        <v>256</v>
      </c>
      <c r="H22" s="76"/>
    </row>
    <row r="23" spans="1:9" s="24" customFormat="1">
      <c r="B23" s="76"/>
      <c r="C23" s="210" t="s">
        <v>36</v>
      </c>
      <c r="D23" s="136">
        <f>'Bilanz Referenz'!D42</f>
        <v>0</v>
      </c>
      <c r="E23" s="153">
        <f>'Bilanz Referenz'!E42</f>
        <v>0</v>
      </c>
      <c r="F23" s="137">
        <f>'Bilanz Referenz'!F42</f>
        <v>56</v>
      </c>
      <c r="G23" s="90" t="s">
        <v>256</v>
      </c>
      <c r="H23" s="76"/>
    </row>
    <row r="24" spans="1:9" s="24" customFormat="1">
      <c r="B24" s="76"/>
      <c r="C24" s="210" t="s">
        <v>35</v>
      </c>
      <c r="D24" s="136">
        <f>'Bilanz Referenz'!D45</f>
        <v>0</v>
      </c>
      <c r="E24" s="86">
        <f>'Bilanz Referenz'!E45</f>
        <v>0</v>
      </c>
      <c r="F24" s="137">
        <f>'Bilanz Referenz'!F45</f>
        <v>90.6</v>
      </c>
      <c r="G24" s="90" t="s">
        <v>256</v>
      </c>
      <c r="H24" s="76"/>
    </row>
    <row r="25" spans="1:9" s="24" customFormat="1" ht="13.5" customHeight="1">
      <c r="B25" s="76"/>
      <c r="C25" s="210" t="s">
        <v>28</v>
      </c>
      <c r="D25" s="136">
        <f>'Bilanz Referenz'!D49</f>
        <v>3.15E-2</v>
      </c>
      <c r="E25" s="86">
        <f>'Bilanz Referenz'!E49</f>
        <v>74</v>
      </c>
      <c r="F25" s="86">
        <f>'Bilanz Referenz'!F49</f>
        <v>0</v>
      </c>
      <c r="G25" s="90" t="s">
        <v>256</v>
      </c>
      <c r="H25" s="76"/>
    </row>
    <row r="26" spans="1:9" s="24" customFormat="1" ht="14.1" customHeight="1">
      <c r="B26" s="76"/>
      <c r="C26" s="210" t="s">
        <v>1</v>
      </c>
      <c r="D26" s="136">
        <f>'Bilanz Referenz'!D52</f>
        <v>0</v>
      </c>
      <c r="E26" s="86">
        <f>'Bilanz Referenz'!E52</f>
        <v>0</v>
      </c>
      <c r="F26" s="86">
        <f>'Bilanz Referenz'!F52</f>
        <v>0</v>
      </c>
      <c r="G26" s="90" t="s">
        <v>256</v>
      </c>
      <c r="H26" s="76"/>
      <c r="I26" s="149"/>
    </row>
    <row r="27" spans="1:9" s="24" customFormat="1">
      <c r="B27" s="76"/>
      <c r="C27" s="319" t="s">
        <v>52</v>
      </c>
      <c r="D27" s="264">
        <f>SUM(D17:D26)</f>
        <v>3.4964999999999997</v>
      </c>
      <c r="E27" s="101"/>
      <c r="F27" s="101"/>
      <c r="G27" s="244" t="s">
        <v>71</v>
      </c>
      <c r="H27" s="76"/>
      <c r="I27" s="149"/>
    </row>
    <row r="28" spans="1:9" s="24" customFormat="1">
      <c r="B28" s="76"/>
      <c r="C28" s="320"/>
      <c r="D28" s="136"/>
      <c r="E28" s="86"/>
      <c r="F28" s="86"/>
      <c r="G28" s="90"/>
      <c r="H28" s="76"/>
      <c r="I28" s="149"/>
    </row>
    <row r="29" spans="1:9" s="24" customFormat="1">
      <c r="B29" s="76"/>
      <c r="C29" s="320"/>
      <c r="D29" s="136"/>
      <c r="E29" s="86"/>
      <c r="F29" s="86"/>
      <c r="G29" s="90"/>
      <c r="H29" s="76"/>
      <c r="I29" s="149"/>
    </row>
    <row r="30" spans="1:9" s="24" customFormat="1">
      <c r="B30" s="76"/>
      <c r="C30" s="262" t="s">
        <v>46</v>
      </c>
      <c r="D30" s="101" t="s">
        <v>231</v>
      </c>
      <c r="E30" s="101" t="s">
        <v>85</v>
      </c>
      <c r="F30" s="101"/>
      <c r="G30" s="262" t="s">
        <v>19</v>
      </c>
      <c r="H30" s="76"/>
      <c r="I30" s="149"/>
    </row>
    <row r="31" spans="1:9" s="24" customFormat="1">
      <c r="B31" s="76"/>
      <c r="C31" s="321" t="s">
        <v>9</v>
      </c>
      <c r="D31" s="4"/>
      <c r="E31" s="4"/>
      <c r="F31" s="4"/>
      <c r="G31" s="13"/>
      <c r="H31" s="76"/>
      <c r="I31" s="149"/>
    </row>
    <row r="32" spans="1:9" s="24" customFormat="1">
      <c r="B32" s="76"/>
      <c r="C32" s="522" t="s">
        <v>409</v>
      </c>
      <c r="D32" s="4"/>
      <c r="E32" s="4"/>
      <c r="F32" s="4"/>
      <c r="G32" s="13"/>
      <c r="H32" s="76"/>
      <c r="I32" s="149"/>
    </row>
    <row r="33" spans="2:9" s="24" customFormat="1" ht="15.6">
      <c r="B33" s="76"/>
      <c r="C33" s="545" t="s">
        <v>306</v>
      </c>
      <c r="D33" s="515">
        <f>(31*330*24)/(125*330*24)</f>
        <v>0.248</v>
      </c>
      <c r="E33" s="3" t="s">
        <v>592</v>
      </c>
      <c r="F33" s="4"/>
      <c r="G33" s="249" t="s">
        <v>593</v>
      </c>
      <c r="H33" s="76"/>
      <c r="I33" s="149"/>
    </row>
    <row r="34" spans="2:9" s="24" customFormat="1" ht="30">
      <c r="B34" s="76"/>
      <c r="C34" s="545" t="s">
        <v>132</v>
      </c>
      <c r="D34" s="516" t="s">
        <v>74</v>
      </c>
      <c r="E34" s="3" t="s">
        <v>592</v>
      </c>
      <c r="F34" s="464"/>
      <c r="G34" s="13" t="s">
        <v>594</v>
      </c>
      <c r="H34" s="76"/>
      <c r="I34" s="514"/>
    </row>
    <row r="35" spans="2:9" s="24" customFormat="1" ht="15.6">
      <c r="B35" s="76"/>
      <c r="C35" s="545" t="s">
        <v>131</v>
      </c>
      <c r="D35" s="265" t="s">
        <v>53</v>
      </c>
      <c r="E35" s="3" t="s">
        <v>592</v>
      </c>
      <c r="F35" s="4"/>
      <c r="G35" s="316"/>
      <c r="H35" s="76"/>
      <c r="I35" s="149"/>
    </row>
    <row r="36" spans="2:9" s="24" customFormat="1" ht="15.6">
      <c r="B36" s="76"/>
      <c r="C36" s="522" t="s">
        <v>29</v>
      </c>
      <c r="D36" s="4">
        <v>0.25</v>
      </c>
      <c r="E36" s="4" t="s">
        <v>595</v>
      </c>
      <c r="F36" s="4"/>
      <c r="G36" s="249" t="s">
        <v>387</v>
      </c>
      <c r="H36" s="76"/>
      <c r="I36" s="149"/>
    </row>
    <row r="37" spans="2:9" s="24" customFormat="1" ht="26.4">
      <c r="B37" s="76"/>
      <c r="C37" s="520" t="s">
        <v>408</v>
      </c>
      <c r="D37" s="3"/>
      <c r="E37" s="3"/>
      <c r="F37" s="4"/>
      <c r="G37" s="3"/>
      <c r="H37" s="76"/>
    </row>
    <row r="38" spans="2:9" s="24" customFormat="1" ht="15.6">
      <c r="B38" s="76"/>
      <c r="C38" s="546" t="s">
        <v>306</v>
      </c>
      <c r="D38" s="3">
        <v>226</v>
      </c>
      <c r="E38" s="3" t="s">
        <v>596</v>
      </c>
      <c r="F38" s="4"/>
      <c r="G38" s="13"/>
      <c r="H38" s="76"/>
    </row>
    <row r="39" spans="2:9" s="24" customFormat="1" ht="31.2">
      <c r="B39" s="76"/>
      <c r="C39" s="546" t="s">
        <v>285</v>
      </c>
      <c r="D39" s="265">
        <v>220</v>
      </c>
      <c r="E39" s="3" t="s">
        <v>596</v>
      </c>
      <c r="F39" s="4"/>
      <c r="G39" s="13" t="s">
        <v>598</v>
      </c>
      <c r="H39" s="76"/>
    </row>
    <row r="40" spans="2:9" s="24" customFormat="1" ht="15.6">
      <c r="B40" s="76"/>
      <c r="C40" s="522" t="s">
        <v>29</v>
      </c>
      <c r="D40" s="4">
        <f>D38</f>
        <v>226</v>
      </c>
      <c r="E40" s="4" t="s">
        <v>597</v>
      </c>
      <c r="F40" s="4"/>
      <c r="G40" s="13" t="s">
        <v>213</v>
      </c>
      <c r="H40" s="76"/>
    </row>
    <row r="41" spans="2:9" s="24" customFormat="1">
      <c r="B41" s="76"/>
      <c r="C41" s="522" t="s">
        <v>235</v>
      </c>
      <c r="D41" s="3"/>
      <c r="E41" s="3"/>
      <c r="F41" s="4"/>
      <c r="G41" s="3"/>
      <c r="H41" s="76"/>
      <c r="I41" s="149"/>
    </row>
    <row r="42" spans="2:9" s="24" customFormat="1">
      <c r="B42" s="76"/>
      <c r="C42" s="521" t="s">
        <v>361</v>
      </c>
      <c r="D42" s="107">
        <v>60</v>
      </c>
      <c r="E42" s="107" t="s">
        <v>68</v>
      </c>
      <c r="F42" s="4"/>
      <c r="G42" s="13"/>
      <c r="H42" s="76"/>
      <c r="I42" s="149"/>
    </row>
    <row r="43" spans="2:9" s="24" customFormat="1" ht="15.6">
      <c r="B43" s="76"/>
      <c r="C43" s="521" t="s">
        <v>285</v>
      </c>
      <c r="D43" s="107">
        <f>D39*D36</f>
        <v>55</v>
      </c>
      <c r="E43" s="107" t="s">
        <v>68</v>
      </c>
      <c r="F43" s="4"/>
      <c r="G43" s="13" t="s">
        <v>599</v>
      </c>
      <c r="H43" s="76"/>
      <c r="I43" s="149"/>
    </row>
    <row r="44" spans="2:9" s="24" customFormat="1">
      <c r="B44" s="76"/>
      <c r="C44" s="522" t="s">
        <v>29</v>
      </c>
      <c r="D44" s="108">
        <f>D40*D36</f>
        <v>56.5</v>
      </c>
      <c r="E44" s="108" t="s">
        <v>68</v>
      </c>
      <c r="F44" s="4"/>
      <c r="G44" s="249" t="s">
        <v>75</v>
      </c>
      <c r="H44" s="76"/>
      <c r="I44" s="149"/>
    </row>
    <row r="45" spans="2:9" s="24" customFormat="1" ht="26.4">
      <c r="B45" s="76"/>
      <c r="C45" s="320" t="s">
        <v>159</v>
      </c>
      <c r="D45" s="76"/>
      <c r="E45" s="76"/>
      <c r="F45" s="86"/>
      <c r="G45" s="76"/>
      <c r="H45" s="76"/>
      <c r="I45" s="149"/>
    </row>
    <row r="46" spans="2:9" s="24" customFormat="1" ht="15.6">
      <c r="B46" s="76"/>
      <c r="C46" s="524" t="s">
        <v>160</v>
      </c>
      <c r="D46" s="525">
        <f>187/((D61+D62+D63)/10^3)-D44+D54</f>
        <v>179.60487142945496</v>
      </c>
      <c r="E46" s="88" t="s">
        <v>600</v>
      </c>
      <c r="F46" s="86"/>
      <c r="G46" s="90" t="s">
        <v>257</v>
      </c>
      <c r="H46" s="76"/>
      <c r="I46" s="149"/>
    </row>
    <row r="47" spans="2:9" s="24" customFormat="1" ht="15.6">
      <c r="B47" s="76"/>
      <c r="C47" s="524" t="s">
        <v>306</v>
      </c>
      <c r="D47" s="525">
        <f>440*10^3/(3.6*10^3)</f>
        <v>122.22222222222223</v>
      </c>
      <c r="E47" s="88" t="s">
        <v>600</v>
      </c>
      <c r="F47" s="86"/>
      <c r="G47" s="140" t="s">
        <v>603</v>
      </c>
      <c r="H47" s="76"/>
      <c r="I47" s="149"/>
    </row>
    <row r="48" spans="2:9" s="24" customFormat="1" ht="15.6">
      <c r="B48" s="76"/>
      <c r="C48" s="524" t="s">
        <v>131</v>
      </c>
      <c r="D48" s="76">
        <v>125</v>
      </c>
      <c r="E48" s="88" t="s">
        <v>600</v>
      </c>
      <c r="F48" s="86"/>
      <c r="G48" s="90" t="s">
        <v>602</v>
      </c>
      <c r="H48" s="76"/>
      <c r="I48" s="149"/>
    </row>
    <row r="49" spans="2:9" s="24" customFormat="1" ht="15.6">
      <c r="B49" s="76"/>
      <c r="C49" s="523" t="s">
        <v>29</v>
      </c>
      <c r="D49" s="137">
        <f>D46</f>
        <v>179.60487142945496</v>
      </c>
      <c r="E49" s="153" t="s">
        <v>601</v>
      </c>
      <c r="F49" s="86"/>
      <c r="G49" s="90" t="s">
        <v>44</v>
      </c>
      <c r="H49" s="76"/>
      <c r="I49" s="149"/>
    </row>
    <row r="50" spans="2:9" s="24" customFormat="1" ht="26.4">
      <c r="B50" s="76"/>
      <c r="C50" s="321" t="s">
        <v>236</v>
      </c>
      <c r="D50" s="256">
        <f>'Bilanz Referenz'!D62</f>
        <v>87.500000000000014</v>
      </c>
      <c r="E50" s="4" t="s">
        <v>68</v>
      </c>
      <c r="F50" s="4"/>
      <c r="G50" s="13" t="s">
        <v>38</v>
      </c>
      <c r="H50" s="76"/>
      <c r="I50" s="149"/>
    </row>
    <row r="51" spans="2:9" s="24" customFormat="1">
      <c r="B51" s="76"/>
      <c r="C51" s="318" t="s">
        <v>66</v>
      </c>
      <c r="D51" s="76"/>
      <c r="E51" s="76"/>
      <c r="F51" s="86"/>
      <c r="G51" s="76"/>
      <c r="H51" s="76"/>
      <c r="I51" s="149"/>
    </row>
    <row r="52" spans="2:9" s="24" customFormat="1">
      <c r="B52" s="76"/>
      <c r="C52" s="524" t="s">
        <v>285</v>
      </c>
      <c r="D52" s="526" t="s">
        <v>67</v>
      </c>
      <c r="E52" s="76" t="s">
        <v>68</v>
      </c>
      <c r="F52" s="76"/>
      <c r="G52" s="90" t="s">
        <v>329</v>
      </c>
      <c r="H52" s="76"/>
      <c r="I52" s="149"/>
    </row>
    <row r="53" spans="2:9" s="24" customFormat="1">
      <c r="B53" s="76"/>
      <c r="C53" s="524" t="s">
        <v>285</v>
      </c>
      <c r="D53" s="526" t="s">
        <v>69</v>
      </c>
      <c r="E53" s="76" t="s">
        <v>68</v>
      </c>
      <c r="F53" s="76"/>
      <c r="G53" s="90" t="s">
        <v>330</v>
      </c>
      <c r="H53" s="76"/>
      <c r="I53" s="149"/>
    </row>
    <row r="54" spans="2:9" s="24" customFormat="1">
      <c r="B54" s="76"/>
      <c r="C54" s="523" t="s">
        <v>29</v>
      </c>
      <c r="D54" s="527">
        <v>10</v>
      </c>
      <c r="E54" s="192" t="s">
        <v>68</v>
      </c>
      <c r="F54" s="76"/>
      <c r="G54" s="90"/>
      <c r="H54" s="76"/>
      <c r="I54" s="149"/>
    </row>
    <row r="55" spans="2:9" s="24" customFormat="1" ht="26.4">
      <c r="B55" s="76"/>
      <c r="C55" s="548" t="s">
        <v>402</v>
      </c>
      <c r="D55" s="549">
        <f>D50-D54</f>
        <v>77.500000000000014</v>
      </c>
      <c r="E55" s="86" t="s">
        <v>68</v>
      </c>
      <c r="F55" s="76"/>
      <c r="G55" s="13" t="s">
        <v>328</v>
      </c>
      <c r="H55" s="76"/>
      <c r="I55" s="149"/>
    </row>
    <row r="56" spans="2:9" s="24" customFormat="1">
      <c r="B56" s="76"/>
      <c r="C56" s="319" t="s">
        <v>47</v>
      </c>
      <c r="D56" s="263">
        <f>D50+D49*(D66+D67)/10^3+D44-D54</f>
        <v>267.68796377749999</v>
      </c>
      <c r="E56" s="101" t="s">
        <v>68</v>
      </c>
      <c r="F56" s="263"/>
      <c r="G56" s="244"/>
      <c r="H56" s="76"/>
      <c r="I56" s="149"/>
    </row>
    <row r="57" spans="2:9" s="24" customFormat="1">
      <c r="B57" s="76"/>
      <c r="C57" s="320"/>
      <c r="D57" s="137"/>
      <c r="E57" s="86"/>
      <c r="F57" s="137"/>
      <c r="G57" s="90"/>
      <c r="H57" s="76"/>
      <c r="I57" s="149"/>
    </row>
    <row r="58" spans="2:9" s="24" customFormat="1">
      <c r="B58" s="76"/>
      <c r="C58" s="320"/>
      <c r="D58" s="137"/>
      <c r="E58" s="86"/>
      <c r="F58" s="137"/>
      <c r="G58" s="90"/>
      <c r="H58" s="76"/>
      <c r="I58" s="149"/>
    </row>
    <row r="59" spans="2:9" s="24" customFormat="1" ht="15.6">
      <c r="B59" s="76"/>
      <c r="C59" s="262" t="s">
        <v>608</v>
      </c>
      <c r="D59" s="101" t="s">
        <v>231</v>
      </c>
      <c r="E59" s="101" t="s">
        <v>85</v>
      </c>
      <c r="F59" s="101"/>
      <c r="G59" s="262" t="s">
        <v>19</v>
      </c>
      <c r="H59" s="76"/>
    </row>
    <row r="60" spans="2:9" s="24" customFormat="1" ht="15.6">
      <c r="B60" s="76"/>
      <c r="C60" s="210" t="s">
        <v>553</v>
      </c>
      <c r="D60" s="86"/>
      <c r="E60" s="86"/>
      <c r="F60" s="86"/>
      <c r="G60" s="210"/>
      <c r="H60" s="76"/>
    </row>
    <row r="61" spans="2:9" s="24" customFormat="1" ht="15.6">
      <c r="B61" s="76"/>
      <c r="C61" s="528" t="s">
        <v>609</v>
      </c>
      <c r="D61" s="86">
        <f>'Bilanz Referenz'!D75</f>
        <v>536</v>
      </c>
      <c r="E61" s="86" t="s">
        <v>604</v>
      </c>
      <c r="F61" s="76"/>
      <c r="G61" s="140" t="s">
        <v>161</v>
      </c>
      <c r="H61" s="76"/>
    </row>
    <row r="62" spans="2:9" s="24" customFormat="1" ht="15.6">
      <c r="B62" s="76"/>
      <c r="C62" s="523" t="s">
        <v>588</v>
      </c>
      <c r="D62" s="138">
        <f>SUMPRODUCT(D17:D26,E17:E26)</f>
        <v>229.1996</v>
      </c>
      <c r="E62" s="86" t="s">
        <v>604</v>
      </c>
      <c r="F62" s="76"/>
      <c r="G62" s="139" t="s">
        <v>607</v>
      </c>
      <c r="H62" s="76"/>
    </row>
    <row r="63" spans="2:9" s="24" customFormat="1" ht="15.6">
      <c r="B63" s="76"/>
      <c r="C63" s="523" t="s">
        <v>587</v>
      </c>
      <c r="D63" s="138">
        <f>SUMPRODUCT(D17:D26,F17:F26)</f>
        <v>61.850250000000003</v>
      </c>
      <c r="E63" s="86" t="s">
        <v>604</v>
      </c>
      <c r="F63" s="76"/>
      <c r="G63" s="139" t="s">
        <v>607</v>
      </c>
      <c r="H63" s="76"/>
    </row>
    <row r="64" spans="2:9" s="24" customFormat="1" ht="15.6">
      <c r="B64" s="76"/>
      <c r="C64" s="519" t="s">
        <v>610</v>
      </c>
      <c r="D64" s="138"/>
      <c r="E64" s="86"/>
      <c r="F64" s="76"/>
      <c r="G64" s="139"/>
      <c r="H64" s="76"/>
    </row>
    <row r="65" spans="2:9" s="24" customFormat="1" ht="13.35" customHeight="1">
      <c r="B65" s="76"/>
      <c r="C65" s="530" t="s">
        <v>191</v>
      </c>
      <c r="D65" s="136">
        <v>90</v>
      </c>
      <c r="E65" s="86" t="s">
        <v>15</v>
      </c>
      <c r="F65" s="76"/>
      <c r="G65" s="194" t="s">
        <v>403</v>
      </c>
      <c r="H65" s="76"/>
    </row>
    <row r="66" spans="2:9" s="24" customFormat="1" ht="15.6">
      <c r="B66" s="76"/>
      <c r="C66" s="530" t="s">
        <v>612</v>
      </c>
      <c r="D66" s="138">
        <f>(D61+D62)*D65/100</f>
        <v>688.67964000000006</v>
      </c>
      <c r="E66" s="86" t="s">
        <v>604</v>
      </c>
      <c r="F66" s="76"/>
      <c r="G66" s="139" t="s">
        <v>606</v>
      </c>
      <c r="H66" s="76"/>
      <c r="I66" s="149"/>
    </row>
    <row r="67" spans="2:9" s="24" customFormat="1" ht="15.6">
      <c r="B67" s="76"/>
      <c r="C67" s="530" t="s">
        <v>611</v>
      </c>
      <c r="D67" s="138">
        <f>D63*D65/100</f>
        <v>55.665225</v>
      </c>
      <c r="E67" s="86" t="s">
        <v>604</v>
      </c>
      <c r="F67" s="76"/>
      <c r="G67" s="139" t="s">
        <v>605</v>
      </c>
      <c r="H67" s="76"/>
      <c r="I67" s="149"/>
    </row>
    <row r="68" spans="2:9" s="24" customFormat="1" ht="15.6">
      <c r="B68" s="76"/>
      <c r="C68" s="529" t="s">
        <v>613</v>
      </c>
      <c r="D68" s="138"/>
      <c r="E68" s="86"/>
      <c r="F68" s="76"/>
      <c r="G68" s="139"/>
      <c r="H68" s="76"/>
      <c r="I68" s="149"/>
    </row>
    <row r="69" spans="2:9" s="24" customFormat="1" ht="15.6">
      <c r="B69" s="76"/>
      <c r="C69" s="523" t="s">
        <v>614</v>
      </c>
      <c r="D69" s="138">
        <f>D61+D62-D66</f>
        <v>76.519959999999969</v>
      </c>
      <c r="E69" s="86" t="s">
        <v>604</v>
      </c>
      <c r="F69" s="76"/>
      <c r="G69" s="139"/>
      <c r="H69" s="76"/>
      <c r="I69" s="149"/>
    </row>
    <row r="70" spans="2:9" s="24" customFormat="1" ht="15.6">
      <c r="B70" s="76"/>
      <c r="C70" s="523" t="s">
        <v>615</v>
      </c>
      <c r="D70" s="138">
        <f>D63-D67</f>
        <v>6.1850250000000031</v>
      </c>
      <c r="E70" s="86" t="s">
        <v>604</v>
      </c>
      <c r="F70" s="76"/>
      <c r="G70" s="139"/>
      <c r="H70" s="76"/>
      <c r="I70" s="149"/>
    </row>
    <row r="71" spans="2:9" s="24" customFormat="1" ht="15.6">
      <c r="B71" s="76"/>
      <c r="C71" s="319" t="s">
        <v>616</v>
      </c>
      <c r="D71" s="261">
        <f>(D61+D62+D63)-D66-D67</f>
        <v>82.704984999999937</v>
      </c>
      <c r="E71" s="642" t="s">
        <v>604</v>
      </c>
      <c r="F71" s="102"/>
      <c r="G71" s="260" t="s">
        <v>605</v>
      </c>
      <c r="H71" s="76"/>
      <c r="I71" s="149"/>
    </row>
    <row r="72" spans="2:9" s="24" customFormat="1">
      <c r="B72" s="76"/>
      <c r="C72" s="90"/>
      <c r="D72" s="76"/>
      <c r="E72" s="76"/>
      <c r="F72" s="76"/>
      <c r="G72" s="90"/>
      <c r="H72" s="76"/>
      <c r="I72" s="149"/>
    </row>
    <row r="73" spans="2:9" s="24" customFormat="1">
      <c r="B73" s="76"/>
      <c r="C73" s="90"/>
      <c r="D73" s="76"/>
      <c r="E73" s="76"/>
      <c r="F73" s="76"/>
      <c r="G73" s="90"/>
      <c r="H73" s="76"/>
      <c r="I73" s="149"/>
    </row>
    <row r="74" spans="2:9" s="24" customFormat="1">
      <c r="B74" s="76"/>
      <c r="C74" s="262" t="s">
        <v>32</v>
      </c>
      <c r="D74" s="101" t="s">
        <v>231</v>
      </c>
      <c r="E74" s="101" t="s">
        <v>85</v>
      </c>
      <c r="F74" s="101"/>
      <c r="G74" s="262" t="s">
        <v>19</v>
      </c>
      <c r="H74" s="76"/>
      <c r="I74" s="149"/>
    </row>
    <row r="75" spans="2:9" s="24" customFormat="1">
      <c r="B75" s="76"/>
      <c r="C75" s="322" t="s">
        <v>219</v>
      </c>
      <c r="D75" s="3"/>
      <c r="E75" s="3"/>
      <c r="F75" s="3"/>
      <c r="G75" s="3"/>
      <c r="H75" s="76"/>
      <c r="I75" s="149"/>
    </row>
    <row r="76" spans="2:9" s="24" customFormat="1" ht="26.4">
      <c r="B76" s="76"/>
      <c r="C76" s="521" t="s">
        <v>308</v>
      </c>
      <c r="D76" s="248">
        <f>344</f>
        <v>344</v>
      </c>
      <c r="E76" s="3" t="s">
        <v>254</v>
      </c>
      <c r="F76" s="3"/>
      <c r="G76" s="249" t="s">
        <v>331</v>
      </c>
      <c r="H76" s="76"/>
      <c r="I76" s="149"/>
    </row>
    <row r="77" spans="2:9" s="24" customFormat="1">
      <c r="B77" s="76"/>
      <c r="C77" s="521" t="s">
        <v>361</v>
      </c>
      <c r="D77" s="248" t="s">
        <v>65</v>
      </c>
      <c r="E77" s="3" t="s">
        <v>254</v>
      </c>
      <c r="F77" s="3"/>
      <c r="G77" s="250" t="s">
        <v>332</v>
      </c>
      <c r="H77" s="76"/>
    </row>
    <row r="78" spans="2:9" s="24" customFormat="1" ht="39.6">
      <c r="B78" s="76"/>
      <c r="C78" s="521" t="s">
        <v>132</v>
      </c>
      <c r="D78" s="251">
        <f>290.7</f>
        <v>290.7</v>
      </c>
      <c r="E78" s="3" t="s">
        <v>254</v>
      </c>
      <c r="F78" s="3"/>
      <c r="G78" s="13" t="s">
        <v>333</v>
      </c>
      <c r="H78" s="76"/>
      <c r="I78" s="149"/>
    </row>
    <row r="79" spans="2:9" s="24" customFormat="1">
      <c r="B79" s="76"/>
      <c r="C79" s="522" t="s">
        <v>29</v>
      </c>
      <c r="D79" s="4">
        <v>290</v>
      </c>
      <c r="E79" s="4" t="s">
        <v>254</v>
      </c>
      <c r="F79" s="3"/>
      <c r="G79" s="13" t="s">
        <v>258</v>
      </c>
      <c r="H79" s="76"/>
      <c r="I79" s="149"/>
    </row>
    <row r="80" spans="2:9" s="24" customFormat="1">
      <c r="B80" s="76"/>
      <c r="C80" s="210" t="s">
        <v>218</v>
      </c>
      <c r="D80" s="76"/>
      <c r="E80" s="76"/>
      <c r="F80" s="76"/>
      <c r="G80" s="76"/>
      <c r="H80" s="76"/>
      <c r="I80" s="149"/>
    </row>
    <row r="81" spans="2:9" s="247" customFormat="1">
      <c r="B81" s="88"/>
      <c r="C81" s="524" t="s">
        <v>132</v>
      </c>
      <c r="D81" s="151">
        <v>103.7</v>
      </c>
      <c r="E81" s="88" t="s">
        <v>254</v>
      </c>
      <c r="F81" s="88"/>
      <c r="G81" s="140"/>
      <c r="H81" s="88"/>
      <c r="I81" s="246"/>
    </row>
    <row r="82" spans="2:9" s="247" customFormat="1">
      <c r="B82" s="88"/>
      <c r="C82" s="524" t="s">
        <v>361</v>
      </c>
      <c r="D82" s="88">
        <v>104</v>
      </c>
      <c r="E82" s="88" t="s">
        <v>254</v>
      </c>
      <c r="F82" s="88"/>
      <c r="G82" s="140"/>
      <c r="H82" s="88"/>
      <c r="I82" s="246"/>
    </row>
    <row r="83" spans="2:9" s="247" customFormat="1">
      <c r="B83" s="88"/>
      <c r="C83" s="523" t="s">
        <v>29</v>
      </c>
      <c r="D83" s="152">
        <f>D81</f>
        <v>103.7</v>
      </c>
      <c r="E83" s="153" t="s">
        <v>254</v>
      </c>
      <c r="F83" s="76"/>
      <c r="G83" s="140" t="s">
        <v>259</v>
      </c>
      <c r="H83" s="88"/>
      <c r="I83" s="246"/>
    </row>
    <row r="84" spans="2:9" s="247" customFormat="1" ht="26.4">
      <c r="B84" s="88"/>
      <c r="C84" s="321" t="s">
        <v>405</v>
      </c>
      <c r="D84" s="253"/>
      <c r="E84" s="252"/>
      <c r="F84" s="234"/>
      <c r="G84" s="249"/>
      <c r="H84" s="88"/>
      <c r="I84" s="246"/>
    </row>
    <row r="85" spans="2:9" s="247" customFormat="1">
      <c r="B85" s="88"/>
      <c r="C85" s="521" t="s">
        <v>57</v>
      </c>
      <c r="D85" s="254">
        <v>9.5</v>
      </c>
      <c r="E85" s="255" t="s">
        <v>254</v>
      </c>
      <c r="F85" s="234"/>
      <c r="G85" s="249" t="s">
        <v>334</v>
      </c>
      <c r="H85" s="88"/>
      <c r="I85" s="246"/>
    </row>
    <row r="86" spans="2:9" s="24" customFormat="1">
      <c r="B86" s="76"/>
      <c r="C86" s="210" t="s">
        <v>232</v>
      </c>
      <c r="D86" s="76"/>
      <c r="E86" s="76"/>
      <c r="F86" s="76"/>
      <c r="G86" s="76"/>
      <c r="H86" s="76"/>
    </row>
    <row r="87" spans="2:9" s="24" customFormat="1" ht="15.6">
      <c r="B87" s="76"/>
      <c r="C87" s="531" t="s">
        <v>285</v>
      </c>
      <c r="D87" s="76">
        <v>10.9</v>
      </c>
      <c r="E87" s="76" t="s">
        <v>254</v>
      </c>
      <c r="F87" s="76"/>
      <c r="G87" s="90" t="s">
        <v>618</v>
      </c>
      <c r="H87" s="76"/>
    </row>
    <row r="88" spans="2:9" s="24" customFormat="1">
      <c r="B88" s="76"/>
      <c r="C88" s="531" t="s">
        <v>327</v>
      </c>
      <c r="D88" s="76">
        <v>54.39</v>
      </c>
      <c r="E88" s="76" t="s">
        <v>254</v>
      </c>
      <c r="F88" s="76"/>
      <c r="G88" s="140" t="s">
        <v>335</v>
      </c>
      <c r="H88" s="76"/>
    </row>
    <row r="89" spans="2:9" s="24" customFormat="1" ht="28.8">
      <c r="B89" s="76"/>
      <c r="C89" s="531" t="s">
        <v>283</v>
      </c>
      <c r="D89" s="451">
        <f>69.8*((31*24)/2717)^0.6</f>
        <v>32.088203327688007</v>
      </c>
      <c r="E89" s="76" t="s">
        <v>254</v>
      </c>
      <c r="F89" s="465"/>
      <c r="G89" s="140" t="s">
        <v>617</v>
      </c>
      <c r="H89" s="76"/>
    </row>
    <row r="90" spans="2:9" s="24" customFormat="1">
      <c r="B90" s="76"/>
      <c r="C90" s="523" t="s">
        <v>29</v>
      </c>
      <c r="D90" s="136">
        <f>D89</f>
        <v>32.088203327688007</v>
      </c>
      <c r="E90" s="86" t="s">
        <v>254</v>
      </c>
      <c r="F90" s="86"/>
      <c r="G90" s="90" t="s">
        <v>404</v>
      </c>
      <c r="H90" s="76"/>
    </row>
    <row r="91" spans="2:9" s="155" customFormat="1" ht="26.4">
      <c r="B91" s="142"/>
      <c r="C91" s="404" t="s">
        <v>31</v>
      </c>
      <c r="D91" s="532"/>
      <c r="E91" s="532"/>
      <c r="F91" s="532"/>
      <c r="G91" s="532"/>
      <c r="H91" s="142"/>
    </row>
    <row r="92" spans="2:9" s="24" customFormat="1" ht="26.4">
      <c r="B92" s="76"/>
      <c r="C92" s="521" t="s">
        <v>132</v>
      </c>
      <c r="D92" s="251">
        <f>18.2/0.737</f>
        <v>24.694708276797829</v>
      </c>
      <c r="E92" s="258" t="s">
        <v>94</v>
      </c>
      <c r="F92" s="257"/>
      <c r="G92" s="259" t="s">
        <v>336</v>
      </c>
      <c r="H92" s="76"/>
    </row>
    <row r="93" spans="2:9" s="24" customFormat="1" ht="26.4">
      <c r="B93" s="76"/>
      <c r="C93" s="521" t="s">
        <v>285</v>
      </c>
      <c r="D93" s="251">
        <v>22.8</v>
      </c>
      <c r="E93" s="258" t="s">
        <v>94</v>
      </c>
      <c r="F93" s="257"/>
      <c r="G93" s="259" t="s">
        <v>337</v>
      </c>
      <c r="H93" s="76"/>
    </row>
    <row r="94" spans="2:9" s="24" customFormat="1">
      <c r="B94" s="76"/>
      <c r="C94" s="568" t="s">
        <v>29</v>
      </c>
      <c r="D94" s="569">
        <f>D92</f>
        <v>24.694708276797829</v>
      </c>
      <c r="E94" s="570" t="s">
        <v>94</v>
      </c>
      <c r="F94" s="221"/>
      <c r="G94" s="571" t="s">
        <v>259</v>
      </c>
      <c r="H94" s="76"/>
    </row>
    <row r="95" spans="2:9" s="24" customFormat="1">
      <c r="B95" s="76"/>
      <c r="C95" s="210"/>
      <c r="D95" s="86"/>
      <c r="E95" s="86"/>
      <c r="F95" s="86"/>
      <c r="G95" s="139"/>
      <c r="H95" s="76"/>
    </row>
    <row r="103" spans="3:10" s="24" customFormat="1">
      <c r="C103" s="323"/>
      <c r="D103" s="37"/>
      <c r="E103" s="37"/>
      <c r="F103" s="37"/>
      <c r="G103" s="117"/>
    </row>
    <row r="104" spans="3:10" s="24" customFormat="1">
      <c r="C104" s="323"/>
      <c r="D104" s="37"/>
      <c r="E104" s="37"/>
      <c r="F104" s="37"/>
      <c r="G104" s="118"/>
    </row>
    <row r="105" spans="3:10" s="24" customFormat="1">
      <c r="C105" s="323"/>
      <c r="D105" s="37"/>
      <c r="E105" s="37"/>
      <c r="F105" s="37"/>
      <c r="G105" s="119"/>
    </row>
    <row r="106" spans="3:10" s="24" customFormat="1">
      <c r="C106" s="323"/>
      <c r="D106" s="37"/>
      <c r="E106" s="37"/>
      <c r="F106" s="37"/>
      <c r="G106" s="117"/>
    </row>
    <row r="107" spans="3:10" s="24" customFormat="1">
      <c r="C107" s="323"/>
      <c r="D107" s="37"/>
      <c r="E107" s="37"/>
      <c r="F107" s="37"/>
      <c r="G107" s="119"/>
    </row>
    <row r="108" spans="3:10" s="24" customFormat="1">
      <c r="C108" s="117"/>
      <c r="G108" s="120"/>
    </row>
    <row r="109" spans="3:10" s="24" customFormat="1">
      <c r="C109" s="117"/>
      <c r="G109" s="121"/>
    </row>
    <row r="110" spans="3:10">
      <c r="C110" s="117"/>
      <c r="D110" s="24"/>
      <c r="E110" s="24"/>
      <c r="F110" s="24"/>
      <c r="G110" s="121"/>
      <c r="I110" s="149"/>
    </row>
    <row r="111" spans="3:10">
      <c r="C111" s="323"/>
      <c r="D111" s="37"/>
      <c r="E111" s="37"/>
      <c r="F111" s="37"/>
      <c r="G111" s="117"/>
      <c r="I111" s="149"/>
    </row>
    <row r="112" spans="3:10">
      <c r="C112" s="117"/>
      <c r="D112" s="24"/>
      <c r="E112" s="24"/>
      <c r="F112" s="24"/>
      <c r="G112" s="117"/>
      <c r="I112" s="149"/>
      <c r="J112" s="24"/>
    </row>
    <row r="113" spans="3:10">
      <c r="C113" s="117"/>
      <c r="D113" s="24"/>
      <c r="E113" s="24"/>
      <c r="F113" s="24"/>
      <c r="G113" s="117"/>
      <c r="I113" s="149"/>
      <c r="J113" s="24"/>
    </row>
    <row r="114" spans="3:10">
      <c r="C114" s="117"/>
      <c r="D114" s="24"/>
      <c r="E114" s="24"/>
      <c r="F114" s="24"/>
      <c r="G114" s="117"/>
      <c r="I114" s="149"/>
      <c r="J114" s="24"/>
    </row>
    <row r="115" spans="3:10">
      <c r="C115" s="117"/>
      <c r="D115" s="24"/>
      <c r="E115" s="24"/>
      <c r="F115" s="24"/>
      <c r="G115" s="117"/>
      <c r="I115" s="148"/>
      <c r="J115" s="24"/>
    </row>
    <row r="116" spans="3:10">
      <c r="C116" s="117"/>
      <c r="D116" s="24"/>
      <c r="E116" s="24"/>
      <c r="F116" s="24"/>
      <c r="G116" s="117"/>
      <c r="I116" s="150"/>
      <c r="J116" s="24"/>
    </row>
    <row r="117" spans="3:10">
      <c r="C117" s="117"/>
      <c r="D117" s="24"/>
      <c r="E117" s="24"/>
      <c r="F117" s="24"/>
      <c r="G117" s="122"/>
    </row>
    <row r="118" spans="3:10">
      <c r="C118" s="121"/>
      <c r="D118" s="38"/>
      <c r="E118" s="38"/>
      <c r="F118" s="38"/>
      <c r="G118" s="122"/>
      <c r="J118" s="123"/>
    </row>
    <row r="119" spans="3:10">
      <c r="C119" s="121"/>
      <c r="D119" s="38"/>
      <c r="E119" s="38"/>
      <c r="F119" s="38"/>
      <c r="G119" s="122"/>
      <c r="J119" s="123"/>
    </row>
    <row r="120" spans="3:10">
      <c r="C120" s="121"/>
      <c r="D120" s="38"/>
      <c r="E120" s="38"/>
      <c r="F120" s="38"/>
      <c r="G120" s="117"/>
    </row>
    <row r="121" spans="3:10">
      <c r="C121" s="121"/>
      <c r="D121" s="38"/>
      <c r="E121" s="38"/>
      <c r="F121" s="38"/>
      <c r="G121" s="117"/>
    </row>
    <row r="122" spans="3:10">
      <c r="C122" s="117"/>
      <c r="D122" s="24"/>
      <c r="E122" s="24"/>
      <c r="F122" s="24"/>
      <c r="G122" s="122"/>
    </row>
    <row r="123" spans="3:10">
      <c r="C123" s="117"/>
      <c r="D123" s="24"/>
      <c r="E123" s="24"/>
      <c r="F123" s="24"/>
      <c r="G123" s="124"/>
    </row>
    <row r="124" spans="3:10">
      <c r="C124" s="117"/>
      <c r="D124" s="24"/>
      <c r="E124" s="24"/>
      <c r="F124" s="24"/>
      <c r="G124" s="117"/>
    </row>
    <row r="125" spans="3:10">
      <c r="C125" s="324"/>
      <c r="D125" s="245"/>
      <c r="E125" s="245"/>
      <c r="F125" s="245"/>
      <c r="G125" s="117"/>
    </row>
    <row r="126" spans="3:10">
      <c r="C126" s="324"/>
      <c r="D126" s="245"/>
      <c r="E126" s="245"/>
      <c r="F126" s="245"/>
      <c r="G126" s="117"/>
    </row>
    <row r="127" spans="3:10">
      <c r="C127" s="117"/>
      <c r="D127" s="24"/>
      <c r="E127" s="24"/>
      <c r="F127" s="24"/>
      <c r="G127" s="117"/>
    </row>
    <row r="128" spans="3:10">
      <c r="C128" s="117"/>
      <c r="D128" s="24"/>
      <c r="E128" s="24"/>
      <c r="F128" s="24"/>
      <c r="G128" s="117"/>
    </row>
    <row r="129" spans="3:19">
      <c r="C129" s="121"/>
      <c r="D129" s="38"/>
      <c r="E129" s="38"/>
      <c r="F129" s="38"/>
      <c r="G129" s="117"/>
    </row>
    <row r="130" spans="3:19">
      <c r="C130" s="121"/>
      <c r="D130" s="38"/>
      <c r="E130" s="38"/>
      <c r="F130" s="38"/>
      <c r="G130" s="117"/>
      <c r="I130" s="148"/>
    </row>
    <row r="131" spans="3:19">
      <c r="C131" s="117"/>
      <c r="D131" s="24"/>
      <c r="E131" s="24"/>
      <c r="F131" s="24"/>
      <c r="G131" s="117"/>
      <c r="I131" s="148"/>
    </row>
    <row r="132" spans="3:19">
      <c r="C132" s="325"/>
      <c r="D132" s="125"/>
      <c r="E132" s="125"/>
      <c r="F132" s="125"/>
      <c r="G132" s="126"/>
    </row>
    <row r="133" spans="3:19">
      <c r="C133" s="326"/>
      <c r="D133" s="127"/>
      <c r="E133" s="127"/>
      <c r="F133" s="127"/>
      <c r="G133" s="126"/>
    </row>
    <row r="134" spans="3:19">
      <c r="C134" s="326"/>
      <c r="D134" s="127"/>
      <c r="E134" s="127"/>
      <c r="F134" s="127"/>
      <c r="G134" s="126"/>
    </row>
    <row r="135" spans="3:19">
      <c r="C135" s="323"/>
      <c r="D135" s="37"/>
      <c r="E135" s="37"/>
      <c r="F135" s="37"/>
      <c r="G135" s="126"/>
    </row>
    <row r="136" spans="3:19">
      <c r="C136" s="121"/>
      <c r="D136" s="38"/>
      <c r="E136" s="38"/>
      <c r="F136" s="38"/>
      <c r="G136" s="122"/>
    </row>
    <row r="137" spans="3:19">
      <c r="C137" s="323"/>
      <c r="D137" s="37"/>
      <c r="E137" s="37"/>
      <c r="F137" s="37"/>
      <c r="G137" s="122"/>
      <c r="I137" s="24"/>
    </row>
    <row r="138" spans="3:19">
      <c r="C138" s="323"/>
      <c r="D138" s="37"/>
      <c r="E138" s="37"/>
      <c r="F138" s="37"/>
      <c r="G138" s="122"/>
    </row>
    <row r="139" spans="3:19">
      <c r="C139" s="117"/>
      <c r="D139" s="24"/>
      <c r="E139" s="24"/>
      <c r="F139" s="24"/>
      <c r="G139" s="117"/>
      <c r="J139" s="24"/>
      <c r="K139" s="24"/>
      <c r="L139" s="24"/>
      <c r="M139" s="24"/>
      <c r="N139" s="24"/>
      <c r="O139" s="24"/>
      <c r="P139" s="24"/>
      <c r="Q139" s="24"/>
      <c r="R139" s="24"/>
      <c r="S139" s="24"/>
    </row>
    <row r="140" spans="3:19">
      <c r="C140" s="117"/>
      <c r="D140" s="24"/>
      <c r="E140" s="24"/>
      <c r="F140" s="24"/>
      <c r="G140" s="117"/>
    </row>
    <row r="141" spans="3:19">
      <c r="C141" s="117"/>
      <c r="D141" s="24"/>
      <c r="E141" s="24"/>
      <c r="F141" s="24"/>
      <c r="G141" s="117"/>
    </row>
    <row r="142" spans="3:19">
      <c r="C142" s="117"/>
      <c r="D142" s="24"/>
      <c r="E142" s="24"/>
      <c r="F142" s="24"/>
      <c r="G142" s="117"/>
    </row>
    <row r="143" spans="3:19">
      <c r="C143" s="117"/>
      <c r="D143" s="24"/>
      <c r="E143" s="24"/>
      <c r="F143" s="24"/>
      <c r="G143" s="117"/>
    </row>
    <row r="144" spans="3:19">
      <c r="C144" s="117"/>
      <c r="D144" s="24"/>
      <c r="E144" s="24"/>
      <c r="F144" s="24"/>
      <c r="G144" s="117"/>
    </row>
    <row r="145" spans="3:7" ht="15.6">
      <c r="C145" s="327"/>
      <c r="D145" s="128"/>
      <c r="E145" s="128"/>
      <c r="F145" s="128"/>
      <c r="G145" s="117"/>
    </row>
    <row r="146" spans="3:7">
      <c r="C146" s="117"/>
      <c r="D146" s="24"/>
      <c r="E146" s="24"/>
      <c r="F146" s="24"/>
      <c r="G146" s="117"/>
    </row>
    <row r="147" spans="3:7">
      <c r="C147" s="324"/>
      <c r="D147" s="245"/>
      <c r="E147" s="245"/>
      <c r="F147" s="245"/>
      <c r="G147" s="117"/>
    </row>
    <row r="148" spans="3:7">
      <c r="C148" s="323"/>
      <c r="D148" s="37"/>
      <c r="E148" s="37"/>
      <c r="F148" s="37"/>
      <c r="G148" s="117"/>
    </row>
    <row r="149" spans="3:7">
      <c r="C149" s="323"/>
      <c r="D149" s="37"/>
      <c r="E149" s="37"/>
      <c r="F149" s="37"/>
      <c r="G149" s="129"/>
    </row>
    <row r="150" spans="3:7">
      <c r="C150" s="323"/>
      <c r="D150" s="37"/>
      <c r="E150" s="37"/>
      <c r="F150" s="37"/>
      <c r="G150" s="117"/>
    </row>
    <row r="151" spans="3:7">
      <c r="C151" s="323"/>
      <c r="D151" s="37"/>
      <c r="E151" s="37"/>
      <c r="F151" s="37"/>
      <c r="G151" s="117"/>
    </row>
    <row r="152" spans="3:7">
      <c r="C152" s="323"/>
      <c r="D152" s="37"/>
      <c r="E152" s="37"/>
      <c r="F152" s="37"/>
      <c r="G152" s="117"/>
    </row>
    <row r="153" spans="3:7">
      <c r="C153" s="323"/>
      <c r="D153" s="37"/>
      <c r="E153" s="37"/>
      <c r="F153" s="37"/>
      <c r="G153" s="117"/>
    </row>
    <row r="154" spans="3:7">
      <c r="C154" s="323"/>
      <c r="D154" s="37"/>
      <c r="E154" s="37"/>
      <c r="F154" s="37"/>
      <c r="G154" s="117"/>
    </row>
    <row r="155" spans="3:7">
      <c r="C155" s="323"/>
      <c r="D155" s="37"/>
      <c r="E155" s="37"/>
      <c r="F155" s="37"/>
      <c r="G155" s="117"/>
    </row>
    <row r="156" spans="3:7">
      <c r="C156" s="323"/>
      <c r="D156" s="37"/>
      <c r="E156" s="37"/>
      <c r="F156" s="37"/>
      <c r="G156" s="117"/>
    </row>
    <row r="157" spans="3:7">
      <c r="C157" s="323"/>
      <c r="D157" s="37"/>
      <c r="E157" s="37"/>
      <c r="F157" s="37"/>
      <c r="G157" s="117"/>
    </row>
    <row r="158" spans="3:7">
      <c r="C158" s="323"/>
      <c r="D158" s="37"/>
      <c r="E158" s="37"/>
      <c r="F158" s="37"/>
      <c r="G158" s="117"/>
    </row>
    <row r="159" spans="3:7">
      <c r="C159" s="323"/>
      <c r="D159" s="37"/>
      <c r="E159" s="37"/>
      <c r="F159" s="37"/>
      <c r="G159" s="117"/>
    </row>
    <row r="160" spans="3:7">
      <c r="C160" s="323"/>
      <c r="D160" s="37"/>
      <c r="E160" s="37"/>
      <c r="F160" s="37"/>
      <c r="G160" s="117"/>
    </row>
    <row r="161" spans="3:7">
      <c r="C161" s="323"/>
      <c r="D161" s="37"/>
      <c r="E161" s="37"/>
      <c r="F161" s="37"/>
      <c r="G161" s="117"/>
    </row>
    <row r="162" spans="3:7">
      <c r="C162" s="323"/>
      <c r="D162" s="37"/>
      <c r="E162" s="37"/>
      <c r="F162" s="37"/>
      <c r="G162" s="117"/>
    </row>
    <row r="163" spans="3:7">
      <c r="C163" s="323"/>
      <c r="D163" s="37"/>
      <c r="E163" s="37"/>
      <c r="F163" s="37"/>
      <c r="G163" s="117"/>
    </row>
    <row r="164" spans="3:7">
      <c r="C164" s="323"/>
      <c r="D164" s="37"/>
      <c r="E164" s="37"/>
      <c r="F164" s="37"/>
      <c r="G164" s="117"/>
    </row>
    <row r="165" spans="3:7">
      <c r="C165" s="323"/>
      <c r="D165" s="37"/>
      <c r="E165" s="37"/>
      <c r="F165" s="37"/>
      <c r="G165" s="119"/>
    </row>
    <row r="166" spans="3:7">
      <c r="C166" s="323"/>
      <c r="D166" s="37"/>
      <c r="E166" s="37"/>
      <c r="F166" s="37"/>
      <c r="G166" s="117"/>
    </row>
    <row r="167" spans="3:7">
      <c r="C167" s="323"/>
      <c r="D167" s="37"/>
      <c r="E167" s="37"/>
      <c r="F167" s="37"/>
      <c r="G167" s="117"/>
    </row>
    <row r="168" spans="3:7">
      <c r="C168" s="323"/>
      <c r="D168" s="37"/>
      <c r="E168" s="37"/>
      <c r="F168" s="37"/>
      <c r="G168" s="117"/>
    </row>
    <row r="169" spans="3:7">
      <c r="C169" s="323"/>
      <c r="D169" s="37"/>
      <c r="E169" s="37"/>
      <c r="F169" s="37"/>
      <c r="G169" s="117"/>
    </row>
    <row r="170" spans="3:7">
      <c r="C170" s="323"/>
      <c r="D170" s="37"/>
      <c r="E170" s="37"/>
      <c r="F170" s="37"/>
      <c r="G170" s="117"/>
    </row>
    <row r="171" spans="3:7">
      <c r="C171" s="117"/>
      <c r="D171" s="24"/>
      <c r="E171" s="24"/>
      <c r="F171" s="24"/>
      <c r="G171" s="117"/>
    </row>
    <row r="172" spans="3:7">
      <c r="C172" s="323"/>
      <c r="D172" s="37"/>
      <c r="E172" s="37"/>
      <c r="F172" s="37"/>
      <c r="G172" s="117"/>
    </row>
    <row r="173" spans="3:7">
      <c r="C173" s="117"/>
      <c r="D173" s="24"/>
      <c r="E173" s="24"/>
      <c r="F173" s="24"/>
      <c r="G173" s="117"/>
    </row>
    <row r="174" spans="3:7">
      <c r="C174" s="117"/>
      <c r="D174" s="24"/>
      <c r="E174" s="24"/>
      <c r="F174" s="24"/>
      <c r="G174" s="117"/>
    </row>
    <row r="175" spans="3:7">
      <c r="C175" s="117"/>
      <c r="D175" s="24"/>
      <c r="E175" s="24"/>
      <c r="F175" s="24"/>
      <c r="G175" s="117"/>
    </row>
    <row r="176" spans="3:7">
      <c r="C176" s="117"/>
      <c r="D176" s="24"/>
      <c r="E176" s="24"/>
      <c r="F176" s="24"/>
      <c r="G176" s="117"/>
    </row>
    <row r="177" spans="3:7">
      <c r="C177" s="117"/>
      <c r="D177" s="24"/>
      <c r="E177" s="24"/>
      <c r="F177" s="24"/>
      <c r="G177" s="117"/>
    </row>
    <row r="178" spans="3:7">
      <c r="C178" s="117"/>
      <c r="D178" s="24"/>
      <c r="E178" s="24"/>
      <c r="F178" s="24"/>
      <c r="G178" s="117"/>
    </row>
    <row r="179" spans="3:7">
      <c r="C179" s="117"/>
      <c r="D179" s="24"/>
      <c r="E179" s="24"/>
      <c r="F179" s="24"/>
      <c r="G179" s="117"/>
    </row>
    <row r="180" spans="3:7">
      <c r="C180" s="117"/>
      <c r="D180" s="24"/>
      <c r="E180" s="24"/>
      <c r="F180" s="24"/>
      <c r="G180" s="117"/>
    </row>
    <row r="181" spans="3:7">
      <c r="C181" s="323"/>
      <c r="D181" s="37"/>
      <c r="E181" s="37"/>
      <c r="F181" s="37"/>
      <c r="G181" s="117"/>
    </row>
    <row r="182" spans="3:7">
      <c r="C182" s="323"/>
      <c r="D182" s="37"/>
      <c r="E182" s="37"/>
      <c r="F182" s="37"/>
      <c r="G182" s="117"/>
    </row>
    <row r="183" spans="3:7" ht="14.1" customHeight="1">
      <c r="C183" s="323"/>
      <c r="D183" s="37"/>
      <c r="E183" s="37"/>
      <c r="F183" s="37"/>
      <c r="G183" s="117"/>
    </row>
    <row r="184" spans="3:7" ht="14.1" customHeight="1">
      <c r="C184" s="323"/>
      <c r="D184" s="37"/>
      <c r="E184" s="37"/>
      <c r="F184" s="37"/>
      <c r="G184" s="117"/>
    </row>
    <row r="185" spans="3:7" ht="14.1" customHeight="1">
      <c r="C185" s="323"/>
      <c r="D185" s="37"/>
      <c r="E185" s="37"/>
      <c r="F185" s="37"/>
      <c r="G185" s="117"/>
    </row>
    <row r="186" spans="3:7" ht="14.1" customHeight="1">
      <c r="C186" s="323"/>
      <c r="D186" s="37"/>
      <c r="E186" s="37"/>
      <c r="F186" s="37"/>
      <c r="G186" s="117"/>
    </row>
    <row r="187" spans="3:7" ht="14.1" customHeight="1">
      <c r="C187" s="323"/>
      <c r="D187" s="37"/>
      <c r="E187" s="37"/>
      <c r="F187" s="37"/>
      <c r="G187" s="117"/>
    </row>
    <row r="188" spans="3:7" ht="14.1" customHeight="1">
      <c r="C188" s="117"/>
      <c r="D188" s="24"/>
      <c r="E188" s="24"/>
      <c r="F188" s="24"/>
      <c r="G188" s="117"/>
    </row>
    <row r="189" spans="3:7" ht="14.1" customHeight="1">
      <c r="C189" s="323"/>
      <c r="D189" s="37"/>
      <c r="E189" s="37"/>
      <c r="F189" s="37"/>
      <c r="G189" s="117"/>
    </row>
    <row r="190" spans="3:7" ht="14.1" customHeight="1">
      <c r="C190" s="121"/>
      <c r="D190" s="38"/>
      <c r="E190" s="38"/>
      <c r="F190" s="38"/>
      <c r="G190" s="117"/>
    </row>
    <row r="191" spans="3:7" ht="14.1" customHeight="1">
      <c r="C191" s="121"/>
      <c r="D191" s="38"/>
      <c r="E191" s="38"/>
      <c r="F191" s="38"/>
      <c r="G191" s="119"/>
    </row>
    <row r="192" spans="3:7">
      <c r="C192" s="117"/>
      <c r="D192" s="24"/>
      <c r="E192" s="24"/>
      <c r="F192" s="24"/>
      <c r="G192" s="117"/>
    </row>
    <row r="193" spans="3:9">
      <c r="C193" s="323"/>
      <c r="D193" s="37"/>
      <c r="E193" s="37"/>
      <c r="F193" s="37"/>
      <c r="G193" s="117"/>
      <c r="I193" s="24"/>
    </row>
    <row r="194" spans="3:9">
      <c r="C194" s="117"/>
      <c r="D194" s="24"/>
      <c r="E194" s="24"/>
      <c r="F194" s="24"/>
      <c r="G194" s="117"/>
      <c r="I194" s="24"/>
    </row>
    <row r="195" spans="3:9">
      <c r="C195" s="117"/>
      <c r="D195" s="24"/>
      <c r="E195" s="24"/>
      <c r="F195" s="24"/>
      <c r="G195" s="117"/>
    </row>
    <row r="196" spans="3:9">
      <c r="C196" s="117"/>
      <c r="D196" s="24"/>
      <c r="E196" s="24"/>
      <c r="F196" s="24"/>
      <c r="G196" s="117"/>
    </row>
    <row r="197" spans="3:9">
      <c r="C197" s="323"/>
      <c r="D197" s="37"/>
      <c r="E197" s="37"/>
      <c r="F197" s="37"/>
      <c r="G197" s="117"/>
      <c r="I197" s="24"/>
    </row>
    <row r="198" spans="3:9">
      <c r="C198" s="131"/>
      <c r="D198" s="130"/>
      <c r="E198" s="130"/>
      <c r="F198" s="130"/>
      <c r="G198" s="131"/>
    </row>
    <row r="199" spans="3:9">
      <c r="C199" s="131"/>
      <c r="D199" s="130"/>
      <c r="E199" s="130"/>
      <c r="F199" s="130"/>
      <c r="G199" s="131"/>
    </row>
    <row r="200" spans="3:9">
      <c r="C200" s="328"/>
      <c r="D200" s="132"/>
      <c r="E200" s="132"/>
      <c r="F200" s="132"/>
      <c r="G200" s="133"/>
    </row>
    <row r="201" spans="3:9">
      <c r="C201" s="328"/>
      <c r="D201" s="132"/>
      <c r="E201" s="132"/>
      <c r="F201" s="132"/>
      <c r="G201" s="134"/>
    </row>
    <row r="202" spans="3:9">
      <c r="C202" s="117"/>
      <c r="D202" s="24"/>
      <c r="E202" s="24"/>
      <c r="F202" s="24"/>
      <c r="G202" s="117"/>
    </row>
    <row r="203" spans="3:9">
      <c r="C203" s="323"/>
      <c r="D203" s="37"/>
      <c r="E203" s="37"/>
      <c r="F203" s="37"/>
      <c r="G203" s="117"/>
    </row>
    <row r="204" spans="3:9">
      <c r="C204" s="323"/>
      <c r="D204" s="37"/>
      <c r="E204" s="37"/>
      <c r="F204" s="37"/>
      <c r="G204" s="117"/>
    </row>
    <row r="205" spans="3:9">
      <c r="C205" s="117"/>
      <c r="D205" s="24"/>
      <c r="E205" s="24"/>
      <c r="F205" s="24"/>
      <c r="G205" s="117"/>
    </row>
  </sheetData>
  <sheetProtection algorithmName="SHA-512" hashValue="6FY3ujyQH+rWl16BJ2iADgnN/x1qF/GMndj68tJQXAwYX5Z/W91ztQ7IJY/2nN97kkjvw0RKmcTxZAcd4gjEoA==" saltValue="k04I8iQIlmz/3GjMTzBW1A==" spinCount="100000" sheet="1" objects="1" scenarios="1"/>
  <mergeCells count="2">
    <mergeCell ref="C5:G5"/>
    <mergeCell ref="C9:E9"/>
  </mergeCells>
  <phoneticPr fontId="28" type="noConversion"/>
  <conditionalFormatting sqref="C17:G27">
    <cfRule type="expression" dxfId="14" priority="2">
      <formula>MOD(ROW(),2)=0</formula>
    </cfRule>
  </conditionalFormatting>
  <conditionalFormatting sqref="C61:G71">
    <cfRule type="expression" dxfId="13" priority="1">
      <formula>MOD(ROW(),2)=0</formula>
    </cfRule>
  </conditionalFormatting>
  <pageMargins left="0.7" right="0.7" top="0.75" bottom="0.75" header="0.3" footer="0.3"/>
  <pageSetup orientation="portrait" verticalDpi="601"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12</vt:i4>
      </vt:variant>
    </vt:vector>
  </HeadingPairs>
  <TitlesOfParts>
    <vt:vector size="12" baseType="lpstr">
      <vt:lpstr>Impressum</vt:lpstr>
      <vt:lpstr>Erläuterungen</vt:lpstr>
      <vt:lpstr>Rechner</vt:lpstr>
      <vt:lpstr>Ergebnisse</vt:lpstr>
      <vt:lpstr>Diagrammtabelle</vt:lpstr>
      <vt:lpstr>Markthochlauf Oxyfuel</vt:lpstr>
      <vt:lpstr>Daten Markthochlauf</vt:lpstr>
      <vt:lpstr>Bilanz Referenz</vt:lpstr>
      <vt:lpstr>Bilanz Oxyfuel</vt:lpstr>
      <vt:lpstr>Bilanz E-LEILAC</vt:lpstr>
      <vt:lpstr>Input_Preise</vt:lpstr>
      <vt:lpstr>Quellen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2022-05-03T12:56:33Z</dcterms:modified>
</cp:coreProperties>
</file>